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210" windowWidth="19320" windowHeight="6270" activeTab="1"/>
  </bookViews>
  <sheets>
    <sheet name="A. Introduction" sheetId="11" r:id="rId1"/>
    <sheet name="JPE 2017 par ARS" sheetId="15" r:id="rId2"/>
    <sheet name="B. Mode d'emploi et Paramètres" sheetId="9" r:id="rId3"/>
    <sheet name="C. Résultats par réghion 2017 " sheetId="13" r:id="rId4"/>
    <sheet name="Onglet technique" sheetId="8" r:id="rId5"/>
  </sheets>
  <definedNames>
    <definedName name="_xlnm._FilterDatabase" localSheetId="4" hidden="1">'Onglet technique'!$B$117:$V$219</definedName>
    <definedName name="AMELIORATION_OT">'Onglet technique'!$J$40:$J$41</definedName>
    <definedName name="AVEC">'Onglet technique'!$L$41:$L$42</definedName>
    <definedName name="AVEC_SANS">'Onglet technique'!$K$40:$K$41</definedName>
    <definedName name="COEFF_GEO" localSheetId="0">'A. Introduction'!$B$38:$E$48</definedName>
    <definedName name="COEFF_GEO" localSheetId="3">'C. Résultats par réghion 2017 '!$Q$7:$T$17</definedName>
    <definedName name="COEFF_GEO">'B. Mode d''emploi et Paramètres'!#REF!</definedName>
    <definedName name="Complète">'Onglet technique'!$N$41:$N$50</definedName>
    <definedName name="DEP">'Onglet technique'!$C$8:$C$106</definedName>
    <definedName name="DEP_NOM">'Onglet technique'!$D$8:$D$106</definedName>
    <definedName name="DONNEES_ARS">#REF!</definedName>
    <definedName name="DONNEES_ENTREE" localSheetId="3">'Onglet technique'!#REF!</definedName>
    <definedName name="DONNEES_ENTREE">'Onglet technique'!#REF!</definedName>
    <definedName name="DONNEES_UTILISEES">'Onglet technique'!$H$39:$H$40</definedName>
    <definedName name="Nocturne">'Onglet technique'!$M$41:$M$50</definedName>
    <definedName name="NOCTURNE_COMPLETE">'Onglet technique'!$L$40:$L$42</definedName>
    <definedName name="NON">'Onglet technique'!$K$40</definedName>
    <definedName name="OUI">'Onglet technique'!$K$41:$K$42</definedName>
    <definedName name="OUI_NON">'Onglet technique'!$H$41:$H$41</definedName>
    <definedName name="POP_DEP_COEF">'Onglet technique'!$B$8:$F$106</definedName>
    <definedName name="REG">'Onglet technique'!$H$8:$H$34</definedName>
    <definedName name="REGIONS">'Onglet technique'!$H$9:$H$34</definedName>
    <definedName name="SAMU">'Onglet technique'!$H$8:$R$8</definedName>
    <definedName name="SAMU_2">'Onglet technique'!$U$8:$U$109</definedName>
    <definedName name="SAMU_DEP">'Onglet technique'!$T$8:$U$109</definedName>
    <definedName name="SAMU_MODELISES" localSheetId="0">'A. Introduction'!$C$38:$C$48</definedName>
    <definedName name="SAMU_MODELISES" localSheetId="3">'C. Résultats par réghion 2017 '!$R$7:$R$17</definedName>
    <definedName name="SAMU_MODELISES">'B. Mode d''emploi et Paramètres'!#REF!</definedName>
    <definedName name="Sans">'Onglet technique'!$L$40</definedName>
    <definedName name="TABLE_SAMU">'Onglet technique'!$H$8:$R$34</definedName>
    <definedName name="_xlnm.Print_Area" localSheetId="0">'A. Introduction'!$A$1:$N$49</definedName>
    <definedName name="_xlnm.Print_Area" localSheetId="2">'B. Mode d''emploi et Paramètres'!$A$1:$L$49</definedName>
  </definedNames>
  <calcPr calcId="145621"/>
</workbook>
</file>

<file path=xl/calcChain.xml><?xml version="1.0" encoding="utf-8"?>
<calcChain xmlns="http://schemas.openxmlformats.org/spreadsheetml/2006/main">
  <c r="I33" i="15" l="1"/>
  <c r="G33" i="15"/>
  <c r="H33" i="15"/>
  <c r="F33" i="15"/>
  <c r="J33" i="15" l="1"/>
  <c r="M20" i="15" l="1"/>
  <c r="M25" i="15"/>
  <c r="M26" i="15" l="1"/>
  <c r="J27" i="9" l="1"/>
  <c r="P219" i="8"/>
  <c r="K219" i="8" s="1"/>
  <c r="N219" i="8"/>
  <c r="P218" i="8"/>
  <c r="K218" i="8" s="1"/>
  <c r="N218" i="8"/>
  <c r="P217" i="8"/>
  <c r="N217" i="8"/>
  <c r="P216" i="8"/>
  <c r="N216" i="8"/>
  <c r="P215" i="8"/>
  <c r="K215" i="8" s="1"/>
  <c r="N215" i="8"/>
  <c r="P214" i="8"/>
  <c r="K214" i="8" s="1"/>
  <c r="N214" i="8"/>
  <c r="P213" i="8"/>
  <c r="N213" i="8"/>
  <c r="P212" i="8"/>
  <c r="K212" i="8" s="1"/>
  <c r="N212" i="8"/>
  <c r="P211" i="8"/>
  <c r="K211" i="8" s="1"/>
  <c r="N211" i="8"/>
  <c r="P210" i="8"/>
  <c r="N210" i="8"/>
  <c r="P209" i="8"/>
  <c r="K209" i="8" s="1"/>
  <c r="N209" i="8"/>
  <c r="P208" i="8"/>
  <c r="K208" i="8" s="1"/>
  <c r="N208" i="8"/>
  <c r="P207" i="8"/>
  <c r="K207" i="8" s="1"/>
  <c r="N207" i="8"/>
  <c r="P206" i="8"/>
  <c r="N206" i="8"/>
  <c r="P205" i="8"/>
  <c r="K205" i="8" s="1"/>
  <c r="N205" i="8"/>
  <c r="P204" i="8"/>
  <c r="K204" i="8" s="1"/>
  <c r="N204" i="8"/>
  <c r="P203" i="8"/>
  <c r="N203" i="8"/>
  <c r="P202" i="8"/>
  <c r="N202" i="8"/>
  <c r="P201" i="8"/>
  <c r="K201" i="8" s="1"/>
  <c r="N201" i="8"/>
  <c r="P200" i="8"/>
  <c r="K200" i="8" s="1"/>
  <c r="N200" i="8"/>
  <c r="P199" i="8"/>
  <c r="N199" i="8"/>
  <c r="P198" i="8"/>
  <c r="K198" i="8" s="1"/>
  <c r="N198" i="8"/>
  <c r="P197" i="8"/>
  <c r="K197" i="8" s="1"/>
  <c r="N197" i="8"/>
  <c r="P196" i="8"/>
  <c r="N196" i="8"/>
  <c r="P195" i="8"/>
  <c r="N195" i="8"/>
  <c r="P194" i="8"/>
  <c r="N194" i="8"/>
  <c r="P193" i="8"/>
  <c r="K193" i="8" s="1"/>
  <c r="N193" i="8"/>
  <c r="P192" i="8"/>
  <c r="N192" i="8"/>
  <c r="P191" i="8"/>
  <c r="K191" i="8" s="1"/>
  <c r="N191" i="8"/>
  <c r="P190" i="8"/>
  <c r="K190" i="8" s="1"/>
  <c r="N190" i="8"/>
  <c r="P189" i="8"/>
  <c r="N189" i="8"/>
  <c r="P188" i="8"/>
  <c r="K188" i="8" s="1"/>
  <c r="N188" i="8"/>
  <c r="P187" i="8"/>
  <c r="K187" i="8" s="1"/>
  <c r="N187" i="8"/>
  <c r="P186" i="8"/>
  <c r="N186" i="8"/>
  <c r="P185" i="8"/>
  <c r="K185" i="8" s="1"/>
  <c r="N185" i="8"/>
  <c r="P184" i="8"/>
  <c r="K184" i="8" s="1"/>
  <c r="N184" i="8"/>
  <c r="P183" i="8"/>
  <c r="K183" i="8" s="1"/>
  <c r="N183" i="8"/>
  <c r="P182" i="8"/>
  <c r="N182" i="8"/>
  <c r="P181" i="8"/>
  <c r="N181" i="8"/>
  <c r="P180" i="8"/>
  <c r="N180" i="8"/>
  <c r="P179" i="8"/>
  <c r="N179" i="8"/>
  <c r="P178" i="8"/>
  <c r="K178" i="8" s="1"/>
  <c r="N178" i="8"/>
  <c r="P177" i="8"/>
  <c r="K177" i="8" s="1"/>
  <c r="N177" i="8"/>
  <c r="P176" i="8"/>
  <c r="N176" i="8"/>
  <c r="P175" i="8"/>
  <c r="N175" i="8"/>
  <c r="P174" i="8"/>
  <c r="N174" i="8"/>
  <c r="K174" i="8"/>
  <c r="P173" i="8"/>
  <c r="K173" i="8" s="1"/>
  <c r="N173" i="8"/>
  <c r="P172" i="8"/>
  <c r="K172" i="8" s="1"/>
  <c r="N172" i="8"/>
  <c r="P171" i="8"/>
  <c r="K171" i="8" s="1"/>
  <c r="N171" i="8"/>
  <c r="P170" i="8"/>
  <c r="K170" i="8" s="1"/>
  <c r="N170" i="8"/>
  <c r="P169" i="8"/>
  <c r="K169" i="8" s="1"/>
  <c r="N169" i="8"/>
  <c r="P168" i="8"/>
  <c r="K168" i="8" s="1"/>
  <c r="N168" i="8"/>
  <c r="P167" i="8"/>
  <c r="N167" i="8"/>
  <c r="P166" i="8"/>
  <c r="K166" i="8" s="1"/>
  <c r="N166" i="8"/>
  <c r="P165" i="8"/>
  <c r="N165" i="8"/>
  <c r="P164" i="8"/>
  <c r="N164" i="8"/>
  <c r="P163" i="8"/>
  <c r="K163" i="8" s="1"/>
  <c r="N163" i="8"/>
  <c r="P162" i="8"/>
  <c r="K162" i="8" s="1"/>
  <c r="N162" i="8"/>
  <c r="P161" i="8"/>
  <c r="N161" i="8"/>
  <c r="P160" i="8"/>
  <c r="K160" i="8" s="1"/>
  <c r="N160" i="8"/>
  <c r="P159" i="8"/>
  <c r="K159" i="8" s="1"/>
  <c r="N159" i="8"/>
  <c r="P158" i="8"/>
  <c r="K158" i="8" s="1"/>
  <c r="N158" i="8"/>
  <c r="P157" i="8"/>
  <c r="N157" i="8"/>
  <c r="P156" i="8"/>
  <c r="K156" i="8" s="1"/>
  <c r="N156" i="8"/>
  <c r="P155" i="8"/>
  <c r="K155" i="8" s="1"/>
  <c r="N155" i="8"/>
  <c r="P154" i="8"/>
  <c r="N154" i="8"/>
  <c r="P153" i="8"/>
  <c r="N153" i="8"/>
  <c r="P152" i="8"/>
  <c r="K152" i="8" s="1"/>
  <c r="N152" i="8"/>
  <c r="P151" i="8"/>
  <c r="K151" i="8" s="1"/>
  <c r="N151" i="8"/>
  <c r="P150" i="8"/>
  <c r="N150" i="8"/>
  <c r="P149" i="8"/>
  <c r="N149" i="8"/>
  <c r="P148" i="8"/>
  <c r="K148" i="8" s="1"/>
  <c r="N148" i="8"/>
  <c r="P147" i="8"/>
  <c r="K147" i="8" s="1"/>
  <c r="N147" i="8"/>
  <c r="P146" i="8"/>
  <c r="N146" i="8"/>
  <c r="P145" i="8"/>
  <c r="N145" i="8"/>
  <c r="P144" i="8"/>
  <c r="K144" i="8" s="1"/>
  <c r="N144" i="8"/>
  <c r="P143" i="8"/>
  <c r="N143" i="8"/>
  <c r="P142" i="8"/>
  <c r="K142" i="8" s="1"/>
  <c r="N142" i="8"/>
  <c r="P141" i="8"/>
  <c r="K141" i="8" s="1"/>
  <c r="N141" i="8"/>
  <c r="P140" i="8"/>
  <c r="N140" i="8"/>
  <c r="P139" i="8"/>
  <c r="N139" i="8"/>
  <c r="P138" i="8"/>
  <c r="N138" i="8"/>
  <c r="P137" i="8"/>
  <c r="N137" i="8"/>
  <c r="P136" i="8"/>
  <c r="K136" i="8" s="1"/>
  <c r="N136" i="8"/>
  <c r="P135" i="8"/>
  <c r="N135" i="8"/>
  <c r="P134" i="8"/>
  <c r="N134" i="8"/>
  <c r="P133" i="8"/>
  <c r="K133" i="8" s="1"/>
  <c r="N133" i="8"/>
  <c r="P132" i="8"/>
  <c r="K132" i="8" s="1"/>
  <c r="N132" i="8"/>
  <c r="P131" i="8"/>
  <c r="N131" i="8"/>
  <c r="P130" i="8"/>
  <c r="N130" i="8"/>
  <c r="P129" i="8"/>
  <c r="K129" i="8" s="1"/>
  <c r="N129" i="8"/>
  <c r="P128" i="8"/>
  <c r="K128" i="8" s="1"/>
  <c r="N128" i="8"/>
  <c r="P127" i="8"/>
  <c r="N127" i="8"/>
  <c r="P126" i="8"/>
  <c r="N126" i="8"/>
  <c r="P125" i="8"/>
  <c r="K125" i="8" s="1"/>
  <c r="N125" i="8"/>
  <c r="P124" i="8"/>
  <c r="N124" i="8"/>
  <c r="P123" i="8"/>
  <c r="N123" i="8"/>
  <c r="P122" i="8"/>
  <c r="N122" i="8"/>
  <c r="P121" i="8"/>
  <c r="K121" i="8" s="1"/>
  <c r="N121" i="8"/>
  <c r="P120" i="8"/>
  <c r="K120" i="8" s="1"/>
  <c r="N120" i="8"/>
  <c r="P119" i="8"/>
  <c r="N119" i="8"/>
  <c r="I132" i="8" l="1"/>
  <c r="O132" i="8" s="1"/>
  <c r="I147" i="8"/>
  <c r="O147" i="8" s="1"/>
  <c r="I160" i="8"/>
  <c r="O160" i="8" s="1"/>
  <c r="I162" i="8"/>
  <c r="O162" i="8" s="1"/>
  <c r="I208" i="8"/>
  <c r="O208" i="8" s="1"/>
  <c r="I211" i="8"/>
  <c r="I172" i="8"/>
  <c r="Q171" i="8" s="1"/>
  <c r="I144" i="8"/>
  <c r="O144" i="8" s="1"/>
  <c r="I173" i="8"/>
  <c r="O173" i="8" s="1"/>
  <c r="I214" i="8"/>
  <c r="O214" i="8" s="1"/>
  <c r="I128" i="8"/>
  <c r="O128" i="8" s="1"/>
  <c r="I151" i="8"/>
  <c r="O151" i="8" s="1"/>
  <c r="I200" i="8"/>
  <c r="O200" i="8" s="1"/>
  <c r="I204" i="8"/>
  <c r="K194" i="8"/>
  <c r="I194" i="8" s="1"/>
  <c r="O194" i="8" s="1"/>
  <c r="I125" i="8"/>
  <c r="O125" i="8" s="1"/>
  <c r="K131" i="8"/>
  <c r="I131" i="8" s="1"/>
  <c r="I193" i="8"/>
  <c r="O193" i="8" s="1"/>
  <c r="I201" i="8"/>
  <c r="O201" i="8" s="1"/>
  <c r="I158" i="8"/>
  <c r="O158" i="8" s="1"/>
  <c r="I218" i="8"/>
  <c r="O218" i="8" s="1"/>
  <c r="Q159" i="8"/>
  <c r="K126" i="8"/>
  <c r="I126" i="8" s="1"/>
  <c r="O126" i="8" s="1"/>
  <c r="I155" i="8"/>
  <c r="O155" i="8" s="1"/>
  <c r="K181" i="8"/>
  <c r="I181" i="8" s="1"/>
  <c r="O181" i="8" s="1"/>
  <c r="K134" i="8"/>
  <c r="I134" i="8" s="1"/>
  <c r="O134" i="8" s="1"/>
  <c r="I169" i="8"/>
  <c r="O169" i="8" s="1"/>
  <c r="I177" i="8"/>
  <c r="O177" i="8" s="1"/>
  <c r="I190" i="8"/>
  <c r="O190" i="8" s="1"/>
  <c r="I197" i="8"/>
  <c r="O197" i="8" s="1"/>
  <c r="I133" i="8"/>
  <c r="O133" i="8" s="1"/>
  <c r="I142" i="8"/>
  <c r="Q141" i="8" s="1"/>
  <c r="I168" i="8"/>
  <c r="O168" i="8" s="1"/>
  <c r="I171" i="8"/>
  <c r="Q170" i="8" s="1"/>
  <c r="I183" i="8"/>
  <c r="O183" i="8" s="1"/>
  <c r="I120" i="8"/>
  <c r="O120" i="8" s="1"/>
  <c r="K123" i="8"/>
  <c r="I123" i="8" s="1"/>
  <c r="O123" i="8" s="1"/>
  <c r="I136" i="8"/>
  <c r="O136" i="8" s="1"/>
  <c r="I184" i="8"/>
  <c r="O184" i="8" s="1"/>
  <c r="I187" i="8"/>
  <c r="O187" i="8" s="1"/>
  <c r="I207" i="8"/>
  <c r="O207" i="8" s="1"/>
  <c r="Q132" i="8"/>
  <c r="Q133" i="8"/>
  <c r="Q172" i="8"/>
  <c r="Q193" i="8"/>
  <c r="Q200" i="8"/>
  <c r="I129" i="8"/>
  <c r="Q128" i="8" s="1"/>
  <c r="I141" i="8"/>
  <c r="O141" i="8" s="1"/>
  <c r="K145" i="8"/>
  <c r="I145" i="8" s="1"/>
  <c r="Q144" i="8" s="1"/>
  <c r="I159" i="8"/>
  <c r="Q158" i="8" s="1"/>
  <c r="I170" i="8"/>
  <c r="Q169" i="8" s="1"/>
  <c r="I174" i="8"/>
  <c r="Q173" i="8" s="1"/>
  <c r="I185" i="8"/>
  <c r="Q184" i="8" s="1"/>
  <c r="I191" i="8"/>
  <c r="Q190" i="8" s="1"/>
  <c r="K202" i="8"/>
  <c r="I202" i="8" s="1"/>
  <c r="Q201" i="8" s="1"/>
  <c r="I209" i="8"/>
  <c r="Q208" i="8" s="1"/>
  <c r="I215" i="8"/>
  <c r="Q214" i="8" s="1"/>
  <c r="K119" i="8"/>
  <c r="I119" i="8" s="1"/>
  <c r="O119" i="8" s="1"/>
  <c r="K124" i="8"/>
  <c r="I124" i="8" s="1"/>
  <c r="K127" i="8"/>
  <c r="I127" i="8" s="1"/>
  <c r="K130" i="8"/>
  <c r="I130" i="8" s="1"/>
  <c r="Q129" i="8" s="1"/>
  <c r="K135" i="8"/>
  <c r="I135" i="8" s="1"/>
  <c r="Q134" i="8" s="1"/>
  <c r="K157" i="8"/>
  <c r="I157" i="8" s="1"/>
  <c r="Q156" i="8" s="1"/>
  <c r="K164" i="8"/>
  <c r="I164" i="8" s="1"/>
  <c r="Q163" i="8" s="1"/>
  <c r="K167" i="8"/>
  <c r="I167" i="8" s="1"/>
  <c r="Q166" i="8" s="1"/>
  <c r="K175" i="8"/>
  <c r="I175" i="8" s="1"/>
  <c r="Q174" i="8" s="1"/>
  <c r="O131" i="8"/>
  <c r="K138" i="8"/>
  <c r="I138" i="8" s="1"/>
  <c r="O138" i="8" s="1"/>
  <c r="K140" i="8"/>
  <c r="I140" i="8" s="1"/>
  <c r="K143" i="8"/>
  <c r="I143" i="8" s="1"/>
  <c r="Q142" i="8" s="1"/>
  <c r="K146" i="8"/>
  <c r="I146" i="8" s="1"/>
  <c r="O146" i="8" s="1"/>
  <c r="K150" i="8"/>
  <c r="I150" i="8" s="1"/>
  <c r="K154" i="8"/>
  <c r="I154" i="8" s="1"/>
  <c r="O154" i="8" s="1"/>
  <c r="K161" i="8"/>
  <c r="I161" i="8" s="1"/>
  <c r="Q160" i="8" s="1"/>
  <c r="K165" i="8"/>
  <c r="I165" i="8" s="1"/>
  <c r="K176" i="8"/>
  <c r="I176" i="8" s="1"/>
  <c r="K180" i="8"/>
  <c r="I180" i="8" s="1"/>
  <c r="K196" i="8"/>
  <c r="I196" i="8" s="1"/>
  <c r="K203" i="8"/>
  <c r="I203" i="8" s="1"/>
  <c r="O203" i="8" s="1"/>
  <c r="K217" i="8"/>
  <c r="I217" i="8" s="1"/>
  <c r="O217" i="8" s="1"/>
  <c r="Q125" i="8"/>
  <c r="Q168" i="8"/>
  <c r="Q183" i="8"/>
  <c r="Q207" i="8"/>
  <c r="I121" i="8"/>
  <c r="Q120" i="8" s="1"/>
  <c r="K137" i="8"/>
  <c r="I137" i="8" s="1"/>
  <c r="Q136" i="8" s="1"/>
  <c r="K139" i="8"/>
  <c r="I139" i="8" s="1"/>
  <c r="I148" i="8"/>
  <c r="Q147" i="8" s="1"/>
  <c r="I152" i="8"/>
  <c r="Q151" i="8" s="1"/>
  <c r="I156" i="8"/>
  <c r="Q155" i="8" s="1"/>
  <c r="I163" i="8"/>
  <c r="Q162" i="8" s="1"/>
  <c r="I166" i="8"/>
  <c r="I178" i="8"/>
  <c r="Q177" i="8" s="1"/>
  <c r="I188" i="8"/>
  <c r="Q187" i="8" s="1"/>
  <c r="I198" i="8"/>
  <c r="Q197" i="8" s="1"/>
  <c r="I205" i="8"/>
  <c r="Q204" i="8" s="1"/>
  <c r="I212" i="8"/>
  <c r="Q211" i="8" s="1"/>
  <c r="I219" i="8"/>
  <c r="Q218" i="8" s="1"/>
  <c r="K122" i="8"/>
  <c r="I122" i="8" s="1"/>
  <c r="Q121" i="8" s="1"/>
  <c r="K149" i="8"/>
  <c r="I149" i="8" s="1"/>
  <c r="Q148" i="8" s="1"/>
  <c r="K153" i="8"/>
  <c r="I153" i="8" s="1"/>
  <c r="Q152" i="8" s="1"/>
  <c r="K179" i="8"/>
  <c r="I179" i="8" s="1"/>
  <c r="Q178" i="8" s="1"/>
  <c r="K182" i="8"/>
  <c r="I182" i="8" s="1"/>
  <c r="K186" i="8"/>
  <c r="I186" i="8" s="1"/>
  <c r="Q185" i="8" s="1"/>
  <c r="K189" i="8"/>
  <c r="I189" i="8" s="1"/>
  <c r="Q188" i="8" s="1"/>
  <c r="K192" i="8"/>
  <c r="I192" i="8" s="1"/>
  <c r="Q191" i="8" s="1"/>
  <c r="K195" i="8"/>
  <c r="I195" i="8" s="1"/>
  <c r="K199" i="8"/>
  <c r="I199" i="8" s="1"/>
  <c r="Q198" i="8" s="1"/>
  <c r="O204" i="8"/>
  <c r="K206" i="8"/>
  <c r="I206" i="8" s="1"/>
  <c r="Q205" i="8" s="1"/>
  <c r="K210" i="8"/>
  <c r="I210" i="8" s="1"/>
  <c r="Q209" i="8" s="1"/>
  <c r="O211" i="8"/>
  <c r="K213" i="8"/>
  <c r="I213" i="8" s="1"/>
  <c r="Q212" i="8" s="1"/>
  <c r="K216" i="8"/>
  <c r="I216" i="8" s="1"/>
  <c r="Q215" i="8" s="1"/>
  <c r="R17" i="13"/>
  <c r="R16" i="13"/>
  <c r="R15" i="13"/>
  <c r="I40" i="13" s="1"/>
  <c r="R14" i="13"/>
  <c r="R13" i="13"/>
  <c r="K40" i="13" l="1"/>
  <c r="O172" i="8"/>
  <c r="Q194" i="8"/>
  <c r="I24" i="13"/>
  <c r="I38" i="13"/>
  <c r="I25" i="13"/>
  <c r="I39" i="13"/>
  <c r="I27" i="13"/>
  <c r="I41" i="13"/>
  <c r="I28" i="13"/>
  <c r="I42" i="13"/>
  <c r="Q138" i="8"/>
  <c r="Q164" i="8"/>
  <c r="O143" i="8"/>
  <c r="B17" i="13"/>
  <c r="I26" i="13"/>
  <c r="O142" i="8"/>
  <c r="Q146" i="8"/>
  <c r="O129" i="8"/>
  <c r="Q127" i="8"/>
  <c r="Q131" i="8"/>
  <c r="O171" i="8"/>
  <c r="Q202" i="8"/>
  <c r="Q123" i="8"/>
  <c r="Q181" i="8"/>
  <c r="O188" i="8"/>
  <c r="Q196" i="8"/>
  <c r="Q175" i="8"/>
  <c r="Q149" i="8"/>
  <c r="O122" i="8"/>
  <c r="O130" i="8"/>
  <c r="Q203" i="8"/>
  <c r="Q126" i="8"/>
  <c r="Q179" i="8"/>
  <c r="Q139" i="8"/>
  <c r="O186" i="8"/>
  <c r="O195" i="8"/>
  <c r="O167" i="8"/>
  <c r="Q192" i="8"/>
  <c r="O179" i="8"/>
  <c r="O149" i="8"/>
  <c r="Q135" i="8"/>
  <c r="O219" i="8"/>
  <c r="Q195" i="8"/>
  <c r="O145" i="8"/>
  <c r="Q217" i="8"/>
  <c r="O139" i="8"/>
  <c r="Q119" i="8"/>
  <c r="O185" i="8"/>
  <c r="O170" i="8"/>
  <c r="O156" i="8"/>
  <c r="O135" i="8"/>
  <c r="O202" i="8"/>
  <c r="Q180" i="8"/>
  <c r="Q154" i="8"/>
  <c r="Q122" i="8"/>
  <c r="O209" i="8"/>
  <c r="O159" i="8"/>
  <c r="Q210" i="8"/>
  <c r="O164" i="8"/>
  <c r="S16" i="13"/>
  <c r="I13" i="13"/>
  <c r="S14" i="13"/>
  <c r="I11" i="13"/>
  <c r="S13" i="13"/>
  <c r="I10" i="13"/>
  <c r="S17" i="13"/>
  <c r="I14" i="13"/>
  <c r="K28" i="13" s="1"/>
  <c r="I12" i="13"/>
  <c r="S15" i="13"/>
  <c r="O148" i="8"/>
  <c r="Q182" i="8"/>
  <c r="Q165" i="8"/>
  <c r="O199" i="8"/>
  <c r="O212" i="8"/>
  <c r="O198" i="8"/>
  <c r="O178" i="8"/>
  <c r="O166" i="8"/>
  <c r="O121" i="8"/>
  <c r="O176" i="8"/>
  <c r="Q213" i="8"/>
  <c r="O182" i="8"/>
  <c r="Q150" i="8"/>
  <c r="Q206" i="8"/>
  <c r="Q199" i="8"/>
  <c r="O165" i="8"/>
  <c r="O189" i="8"/>
  <c r="O157" i="8"/>
  <c r="O127" i="8"/>
  <c r="O192" i="8"/>
  <c r="Q176" i="8"/>
  <c r="Q157" i="8"/>
  <c r="Q130" i="8"/>
  <c r="Q216" i="8"/>
  <c r="O205" i="8"/>
  <c r="O174" i="8"/>
  <c r="O163" i="8"/>
  <c r="Q153" i="8"/>
  <c r="Q145" i="8"/>
  <c r="Q137" i="8"/>
  <c r="O213" i="8"/>
  <c r="O150" i="8"/>
  <c r="Q140" i="8"/>
  <c r="O206" i="8"/>
  <c r="O175" i="8"/>
  <c r="Q161" i="8"/>
  <c r="Q143" i="8"/>
  <c r="O124" i="8"/>
  <c r="Q167" i="8"/>
  <c r="Q124" i="8"/>
  <c r="O140" i="8"/>
  <c r="Q186" i="8"/>
  <c r="O153" i="8"/>
  <c r="O215" i="8"/>
  <c r="O191" i="8"/>
  <c r="O152" i="8"/>
  <c r="O210" i="8"/>
  <c r="O196" i="8"/>
  <c r="O180" i="8"/>
  <c r="O161" i="8"/>
  <c r="O216" i="8"/>
  <c r="Q189" i="8"/>
  <c r="O137" i="8"/>
  <c r="B41" i="13"/>
  <c r="Q39" i="13"/>
  <c r="B28" i="13"/>
  <c r="B43" i="13"/>
  <c r="B30" i="13"/>
  <c r="Q41" i="13"/>
  <c r="Q28" i="13"/>
  <c r="B45" i="13"/>
  <c r="E45" i="13" s="1"/>
  <c r="Q43" i="13"/>
  <c r="B32" i="13"/>
  <c r="B15" i="13"/>
  <c r="Q26" i="13"/>
  <c r="B42" i="13"/>
  <c r="Q40" i="13"/>
  <c r="B29" i="13"/>
  <c r="Q27" i="13"/>
  <c r="B44" i="13"/>
  <c r="Q42" i="13"/>
  <c r="B31" i="13"/>
  <c r="Q29" i="13"/>
  <c r="B16" i="13"/>
  <c r="B18" i="13"/>
  <c r="B19" i="13"/>
  <c r="J14" i="13" s="1"/>
  <c r="R12" i="13"/>
  <c r="R11" i="13"/>
  <c r="R10" i="13"/>
  <c r="R9" i="13"/>
  <c r="I34" i="13" s="1"/>
  <c r="R8" i="13"/>
  <c r="K34" i="13" l="1"/>
  <c r="M42" i="13"/>
  <c r="L42" i="13"/>
  <c r="K42" i="13"/>
  <c r="K41" i="13"/>
  <c r="K39" i="13"/>
  <c r="K38" i="13"/>
  <c r="I33" i="13"/>
  <c r="I19" i="13"/>
  <c r="I21" i="13"/>
  <c r="I35" i="13"/>
  <c r="I23" i="13"/>
  <c r="I37" i="13"/>
  <c r="I22" i="13"/>
  <c r="I36" i="13"/>
  <c r="J28" i="13"/>
  <c r="J42" i="13"/>
  <c r="E30" i="13"/>
  <c r="S28" i="13" s="1"/>
  <c r="D30" i="13"/>
  <c r="K14" i="13"/>
  <c r="I6" i="13"/>
  <c r="I20" i="13"/>
  <c r="J11" i="13"/>
  <c r="J10" i="13"/>
  <c r="L14" i="13"/>
  <c r="J13" i="13"/>
  <c r="J12" i="13"/>
  <c r="S8" i="13"/>
  <c r="I5" i="13"/>
  <c r="S12" i="13"/>
  <c r="I9" i="13"/>
  <c r="S11" i="13"/>
  <c r="I8" i="13"/>
  <c r="S10" i="13"/>
  <c r="I7" i="13"/>
  <c r="B37" i="13"/>
  <c r="Q35" i="13"/>
  <c r="B24" i="13"/>
  <c r="B11" i="13"/>
  <c r="E31" i="13"/>
  <c r="S29" i="13" s="1"/>
  <c r="C31" i="13"/>
  <c r="D31" i="13"/>
  <c r="E32" i="13"/>
  <c r="S30" i="13" s="1"/>
  <c r="C32" i="13"/>
  <c r="D32" i="13"/>
  <c r="B39" i="13"/>
  <c r="Q37" i="13"/>
  <c r="B26" i="13"/>
  <c r="Q24" i="13"/>
  <c r="B13" i="13"/>
  <c r="E28" i="13"/>
  <c r="S26" i="13" s="1"/>
  <c r="D28" i="13"/>
  <c r="C28" i="13"/>
  <c r="U15" i="13"/>
  <c r="T15" i="13" s="1"/>
  <c r="C30" i="13"/>
  <c r="U43" i="13"/>
  <c r="V43" i="13"/>
  <c r="R43" i="13"/>
  <c r="X43" i="13" s="1"/>
  <c r="W43" i="13"/>
  <c r="S43" i="13"/>
  <c r="T43" i="13"/>
  <c r="B38" i="13"/>
  <c r="Q36" i="13"/>
  <c r="B25" i="13"/>
  <c r="B12" i="13"/>
  <c r="B36" i="13"/>
  <c r="Q34" i="13"/>
  <c r="B23" i="13"/>
  <c r="Q21" i="13"/>
  <c r="B10" i="13"/>
  <c r="B40" i="13"/>
  <c r="Q38" i="13"/>
  <c r="B27" i="13"/>
  <c r="Q25" i="13"/>
  <c r="B14" i="13"/>
  <c r="E29" i="13"/>
  <c r="S27" i="13" s="1"/>
  <c r="C29" i="13"/>
  <c r="D29" i="13"/>
  <c r="D45" i="13"/>
  <c r="C45" i="13"/>
  <c r="S9" i="13"/>
  <c r="K33" i="13" l="1"/>
  <c r="K36" i="13"/>
  <c r="K37" i="13"/>
  <c r="K35" i="13"/>
  <c r="J5" i="13"/>
  <c r="J26" i="13"/>
  <c r="J40" i="13"/>
  <c r="J25" i="13"/>
  <c r="J39" i="13"/>
  <c r="J27" i="13"/>
  <c r="J41" i="13"/>
  <c r="J24" i="13"/>
  <c r="J38" i="13"/>
  <c r="J6" i="13"/>
  <c r="U27" i="13"/>
  <c r="V27" i="13"/>
  <c r="T27" i="13"/>
  <c r="R27" i="13"/>
  <c r="W27" i="13"/>
  <c r="V28" i="13"/>
  <c r="T28" i="13"/>
  <c r="R28" i="13"/>
  <c r="X28" i="13" s="1"/>
  <c r="W28" i="13"/>
  <c r="U28" i="13"/>
  <c r="W30" i="13"/>
  <c r="U30" i="13"/>
  <c r="V30" i="13"/>
  <c r="T30" i="13"/>
  <c r="R30" i="13"/>
  <c r="W26" i="13"/>
  <c r="U26" i="13"/>
  <c r="V26" i="13"/>
  <c r="T26" i="13"/>
  <c r="R26" i="13"/>
  <c r="X26" i="13" s="1"/>
  <c r="W29" i="13"/>
  <c r="U29" i="13"/>
  <c r="V29" i="13"/>
  <c r="T29" i="13"/>
  <c r="R29" i="13"/>
  <c r="X29" i="13" s="1"/>
  <c r="U14" i="13"/>
  <c r="T14" i="13" s="1"/>
  <c r="J9" i="13"/>
  <c r="J8" i="13"/>
  <c r="J7" i="13"/>
  <c r="U13" i="13"/>
  <c r="T13" i="13" s="1"/>
  <c r="S39" i="13" s="1"/>
  <c r="L10" i="13" s="1"/>
  <c r="E23" i="13"/>
  <c r="S21" i="13" s="1"/>
  <c r="D23" i="13"/>
  <c r="C23" i="13"/>
  <c r="C25" i="13"/>
  <c r="D25" i="13"/>
  <c r="E25" i="13"/>
  <c r="S23" i="13" s="1"/>
  <c r="U16" i="13"/>
  <c r="T16" i="13" s="1"/>
  <c r="D26" i="13"/>
  <c r="E26" i="13"/>
  <c r="S24" i="13" s="1"/>
  <c r="C26" i="13"/>
  <c r="C27" i="13"/>
  <c r="D27" i="13"/>
  <c r="E27" i="13"/>
  <c r="S25" i="13" s="1"/>
  <c r="D24" i="13"/>
  <c r="E24" i="13"/>
  <c r="S22" i="13" s="1"/>
  <c r="C24" i="13"/>
  <c r="J22" i="13" l="1"/>
  <c r="J36" i="13"/>
  <c r="J33" i="13"/>
  <c r="J19" i="13"/>
  <c r="J21" i="13"/>
  <c r="J35" i="13"/>
  <c r="J23" i="13"/>
  <c r="J37" i="13"/>
  <c r="J20" i="13"/>
  <c r="J34" i="13"/>
  <c r="V23" i="13"/>
  <c r="T23" i="13"/>
  <c r="R23" i="13"/>
  <c r="W23" i="13"/>
  <c r="U23" i="13"/>
  <c r="V24" i="13"/>
  <c r="T24" i="13"/>
  <c r="R24" i="13"/>
  <c r="X24" i="13" s="1"/>
  <c r="W24" i="13"/>
  <c r="U24" i="13"/>
  <c r="W22" i="13"/>
  <c r="U22" i="13"/>
  <c r="V22" i="13"/>
  <c r="T22" i="13"/>
  <c r="R22" i="13"/>
  <c r="W25" i="13"/>
  <c r="U25" i="13"/>
  <c r="V25" i="13"/>
  <c r="T25" i="13"/>
  <c r="R25" i="13"/>
  <c r="V21" i="13"/>
  <c r="T21" i="13"/>
  <c r="R21" i="13"/>
  <c r="X21" i="13" s="1"/>
  <c r="W21" i="13"/>
  <c r="U21" i="13"/>
  <c r="U8" i="13"/>
  <c r="T8" i="13" s="1"/>
  <c r="R40" i="13"/>
  <c r="R39" i="13"/>
  <c r="X39" i="13" s="1"/>
  <c r="W39" i="13"/>
  <c r="V39" i="13" s="1"/>
  <c r="W42" i="13"/>
  <c r="V42" i="13" s="1"/>
  <c r="U42" i="13" s="1"/>
  <c r="R42" i="13"/>
  <c r="X42" i="13" s="1"/>
  <c r="U39" i="13"/>
  <c r="T39" i="13" s="1"/>
  <c r="T42" i="13"/>
  <c r="S42" i="13" s="1"/>
  <c r="L13" i="13" s="1"/>
  <c r="U12" i="13"/>
  <c r="T12" i="13" s="1"/>
  <c r="W41" i="13"/>
  <c r="V41" i="13" s="1"/>
  <c r="U41" i="13" s="1"/>
  <c r="T41" i="13" s="1"/>
  <c r="S41" i="13" s="1"/>
  <c r="L12" i="13" s="1"/>
  <c r="R41" i="13"/>
  <c r="U11" i="13"/>
  <c r="T11" i="13" s="1"/>
  <c r="W34" i="13" l="1"/>
  <c r="X27" i="13"/>
  <c r="W40" i="13" s="1"/>
  <c r="V40" i="13" s="1"/>
  <c r="U40" i="13" s="1"/>
  <c r="T40" i="13" s="1"/>
  <c r="S40" i="13" s="1"/>
  <c r="L11" i="13" s="1"/>
  <c r="R37" i="13"/>
  <c r="X37" i="13" s="1"/>
  <c r="R34" i="13"/>
  <c r="W37" i="13"/>
  <c r="V37" i="13" s="1"/>
  <c r="U37" i="13" s="1"/>
  <c r="T37" i="13"/>
  <c r="V34" i="13"/>
  <c r="X41" i="13"/>
  <c r="S34" i="13"/>
  <c r="L5" i="13" s="1"/>
  <c r="X25" i="13"/>
  <c r="W38" i="13" s="1"/>
  <c r="V38" i="13" s="1"/>
  <c r="U38" i="13" s="1"/>
  <c r="T38" i="13" s="1"/>
  <c r="R38" i="13"/>
  <c r="X40" i="13" l="1"/>
  <c r="S38" i="13"/>
  <c r="L9" i="13" s="1"/>
  <c r="S37" i="13"/>
  <c r="L8" i="13" s="1"/>
  <c r="U34" i="13"/>
  <c r="X34" i="13"/>
  <c r="X38" i="13"/>
  <c r="T34" i="13" l="1"/>
  <c r="Q22" i="13"/>
  <c r="T9" i="13"/>
  <c r="Q23" i="13"/>
  <c r="T10" i="13"/>
  <c r="C39" i="13"/>
  <c r="C44" i="13"/>
  <c r="C42" i="13"/>
  <c r="C41" i="13"/>
  <c r="C40" i="13"/>
  <c r="Q30" i="13"/>
  <c r="X30" i="13" s="1"/>
  <c r="C43" i="13"/>
  <c r="T17" i="13"/>
  <c r="D44" i="13" l="1"/>
  <c r="E44" i="13" s="1"/>
  <c r="D43" i="13"/>
  <c r="E43" i="13" s="1"/>
  <c r="D41" i="13"/>
  <c r="E41" i="13" s="1"/>
  <c r="M38" i="13" s="1"/>
  <c r="D40" i="13"/>
  <c r="E40" i="13" s="1"/>
  <c r="M37" i="13" s="1"/>
  <c r="D39" i="13"/>
  <c r="E39" i="13" s="1"/>
  <c r="C36" i="13"/>
  <c r="U36" i="13"/>
  <c r="U10" i="13"/>
  <c r="T36" i="13"/>
  <c r="V36" i="13"/>
  <c r="X23" i="13"/>
  <c r="U9" i="13"/>
  <c r="V35" i="13"/>
  <c r="T35" i="13"/>
  <c r="U17" i="13"/>
  <c r="S36" i="13"/>
  <c r="L7" i="13" s="1"/>
  <c r="W36" i="13"/>
  <c r="W35" i="13"/>
  <c r="D42" i="13"/>
  <c r="E42" i="13" s="1"/>
  <c r="U35" i="13"/>
  <c r="L41" i="13" l="1"/>
  <c r="M41" i="13"/>
  <c r="M39" i="13"/>
  <c r="M40" i="13"/>
  <c r="M36" i="13"/>
  <c r="K13" i="13"/>
  <c r="K27" i="13"/>
  <c r="K23" i="13"/>
  <c r="K9" i="13"/>
  <c r="K22" i="13"/>
  <c r="D36" i="13"/>
  <c r="E36" i="13" s="1"/>
  <c r="K8" i="13"/>
  <c r="L36" i="13" s="1"/>
  <c r="K11" i="13"/>
  <c r="L39" i="13" s="1"/>
  <c r="K25" i="13"/>
  <c r="K12" i="13"/>
  <c r="L40" i="13" s="1"/>
  <c r="K26" i="13"/>
  <c r="K10" i="13"/>
  <c r="K24" i="13"/>
  <c r="S35" i="13"/>
  <c r="L6" i="13" s="1"/>
  <c r="R36" i="13"/>
  <c r="X36" i="13" s="1"/>
  <c r="C38" i="13" s="1"/>
  <c r="X22" i="13"/>
  <c r="R35" i="13"/>
  <c r="L37" i="13" l="1"/>
  <c r="L38" i="13"/>
  <c r="M33" i="13"/>
  <c r="K19" i="13"/>
  <c r="K5" i="13"/>
  <c r="D38" i="13"/>
  <c r="E38" i="13" s="1"/>
  <c r="X35" i="13"/>
  <c r="C37" i="13" s="1"/>
  <c r="M35" i="13" l="1"/>
  <c r="L33" i="13"/>
  <c r="K7" i="13"/>
  <c r="K21" i="13"/>
  <c r="D37" i="13"/>
  <c r="Q219" i="8"/>
  <c r="L35" i="13" l="1"/>
  <c r="E37" i="13"/>
  <c r="M34" i="13" l="1"/>
  <c r="K20" i="13"/>
  <c r="M29" i="13" s="1"/>
  <c r="K6" i="13"/>
  <c r="M15" i="13" s="1"/>
  <c r="E46" i="13"/>
  <c r="L34" i="13" l="1"/>
  <c r="M43" i="13" s="1"/>
  <c r="M45" i="13" s="1"/>
</calcChain>
</file>

<file path=xl/comments1.xml><?xml version="1.0" encoding="utf-8"?>
<comments xmlns="http://schemas.openxmlformats.org/spreadsheetml/2006/main">
  <authors>
    <author>Auteur</author>
  </authors>
  <commentList>
    <comment ref="I8" authorId="0">
      <text>
        <r>
          <rPr>
            <b/>
            <sz val="9"/>
            <color indexed="81"/>
            <rFont val="Tahoma"/>
            <family val="2"/>
          </rPr>
          <t>Auteur:</t>
        </r>
        <r>
          <rPr>
            <sz val="9"/>
            <color indexed="81"/>
            <rFont val="Tahoma"/>
            <family val="2"/>
          </rPr>
          <t xml:space="preserve">
Ligne H24 = 8760  heures postées ( 365*24)</t>
        </r>
      </text>
    </comment>
    <comment ref="I25" authorId="0">
      <text>
        <r>
          <rPr>
            <b/>
            <sz val="9"/>
            <color indexed="81"/>
            <rFont val="Tahoma"/>
            <family val="2"/>
          </rPr>
          <t>Auteur:</t>
        </r>
        <r>
          <rPr>
            <sz val="9"/>
            <color indexed="81"/>
            <rFont val="Tahoma"/>
            <family val="2"/>
          </rPr>
          <t xml:space="preserve">
Valorisisation de la  ligne  H24 de médecin régulateur hospitalier . Une ligne H24 = 8760 h postées (365 * 24). Cette valorisation inclut le temps de travail non clinique en plus du financement du temps de régulation proprement dit.</t>
        </r>
      </text>
    </comment>
    <comment ref="I27" authorId="0">
      <text>
        <r>
          <rPr>
            <b/>
            <sz val="9"/>
            <color indexed="81"/>
            <rFont val="Tahoma"/>
            <family val="2"/>
          </rPr>
          <t>Auteur:</t>
        </r>
        <r>
          <rPr>
            <sz val="9"/>
            <color indexed="81"/>
            <rFont val="Tahoma"/>
            <family val="2"/>
          </rPr>
          <t xml:space="preserve">
Valorisation de la ligne  ARM  H24.  Une ligne H24 = 8760 h postées (365 * 24), et nécessite 6 ETP pour une présence H24</t>
        </r>
      </text>
    </comment>
  </commentList>
</comments>
</file>

<file path=xl/comments2.xml><?xml version="1.0" encoding="utf-8"?>
<comments xmlns="http://schemas.openxmlformats.org/spreadsheetml/2006/main">
  <authors>
    <author>Auteur</author>
  </authors>
  <commentList>
    <comment ref="B9" authorId="0">
      <text>
        <r>
          <rPr>
            <b/>
            <sz val="9"/>
            <color indexed="81"/>
            <rFont val="Tahoma"/>
            <family val="2"/>
          </rPr>
          <t>Auteur:</t>
        </r>
        <r>
          <rPr>
            <sz val="9"/>
            <color indexed="81"/>
            <rFont val="Tahoma"/>
            <family val="2"/>
          </rPr>
          <t xml:space="preserve">
Pour simuler le transfert complet d'activité vers un autre SAMU, taper "-" + "Entrée" dans les cellules DRM et DR du SAMU concerné.
</t>
        </r>
      </text>
    </comment>
    <comment ref="R20" authorId="0">
      <text>
        <r>
          <rPr>
            <b/>
            <sz val="9"/>
            <color indexed="81"/>
            <rFont val="Tahoma"/>
            <family val="2"/>
          </rPr>
          <t>Auteur:</t>
        </r>
        <r>
          <rPr>
            <sz val="9"/>
            <color indexed="81"/>
            <rFont val="Tahoma"/>
            <family val="2"/>
          </rPr>
          <t xml:space="preserve">
Nombre de lignes médicales H24 de régulateur hospitalier (hors médecins libéraux rémunérés par l'Assurance Maladie). Une ligne H24 = 8760 h postées (365 * 24)</t>
        </r>
      </text>
    </comment>
    <comment ref="S20" authorId="0">
      <text>
        <r>
          <rPr>
            <b/>
            <sz val="9"/>
            <color indexed="81"/>
            <rFont val="Tahoma"/>
            <family val="2"/>
          </rPr>
          <t>Auteur:</t>
        </r>
        <r>
          <rPr>
            <sz val="9"/>
            <color indexed="81"/>
            <rFont val="Tahoma"/>
            <family val="2"/>
          </rPr>
          <t xml:space="preserve">
Nombre de lignes ARM  H24.  Une ligne H24 = 8760 h postées (365 * 24)</t>
        </r>
      </text>
    </comment>
    <comment ref="R33" authorId="0">
      <text>
        <r>
          <rPr>
            <b/>
            <sz val="9"/>
            <color indexed="81"/>
            <rFont val="Tahoma"/>
            <family val="2"/>
          </rPr>
          <t>Auteur:</t>
        </r>
        <r>
          <rPr>
            <sz val="9"/>
            <color indexed="81"/>
            <rFont val="Tahoma"/>
            <family val="2"/>
          </rPr>
          <t xml:space="preserve">
Nombre de lignes médicales H24 de régulateur hospitralier (hors médecins libéraux rémunérés par l'Assurance Maladie). Une ligne H24 = 8760 h postées (365 * 24)</t>
        </r>
      </text>
    </comment>
    <comment ref="S33" authorId="0">
      <text>
        <r>
          <rPr>
            <b/>
            <sz val="9"/>
            <color indexed="81"/>
            <rFont val="Tahoma"/>
            <family val="2"/>
          </rPr>
          <t>Auteur:</t>
        </r>
        <r>
          <rPr>
            <sz val="9"/>
            <color indexed="81"/>
            <rFont val="Tahoma"/>
            <family val="2"/>
          </rPr>
          <t xml:space="preserve">
Nombre de lignes ARM  H24.  Une ligne H24 = 8760 h postées (365 * 24)</t>
        </r>
      </text>
    </comment>
  </commentList>
</comments>
</file>

<file path=xl/sharedStrings.xml><?xml version="1.0" encoding="utf-8"?>
<sst xmlns="http://schemas.openxmlformats.org/spreadsheetml/2006/main" count="1520" uniqueCount="614">
  <si>
    <t>740781133</t>
  </si>
  <si>
    <t>Haute-Savoie</t>
  </si>
  <si>
    <t>74</t>
  </si>
  <si>
    <t>Rhône-Alpes</t>
  </si>
  <si>
    <t>SAMU74</t>
  </si>
  <si>
    <t>730000015</t>
  </si>
  <si>
    <t>Savoie</t>
  </si>
  <si>
    <t>73</t>
  </si>
  <si>
    <t>SAMU73</t>
  </si>
  <si>
    <t>690783154</t>
  </si>
  <si>
    <t>Rhône</t>
  </si>
  <si>
    <t>69</t>
  </si>
  <si>
    <t>SAMU69</t>
  </si>
  <si>
    <t>420780033</t>
  </si>
  <si>
    <t>Loire</t>
  </si>
  <si>
    <t>42</t>
  </si>
  <si>
    <t>SAMU42B</t>
  </si>
  <si>
    <t>420782559</t>
  </si>
  <si>
    <t>SAMU42A</t>
  </si>
  <si>
    <t>380000067</t>
  </si>
  <si>
    <t>Isère</t>
  </si>
  <si>
    <t>38</t>
  </si>
  <si>
    <t>SAMU38</t>
  </si>
  <si>
    <t>260000021</t>
  </si>
  <si>
    <t>Drôme</t>
  </si>
  <si>
    <t>26</t>
  </si>
  <si>
    <t>SAMU26</t>
  </si>
  <si>
    <t>070002878</t>
  </si>
  <si>
    <t>Ardèche</t>
  </si>
  <si>
    <t>07</t>
  </si>
  <si>
    <t>SAMU07</t>
  </si>
  <si>
    <t>010780054</t>
  </si>
  <si>
    <t>Ain</t>
  </si>
  <si>
    <t>01</t>
  </si>
  <si>
    <t>SAMU01</t>
  </si>
  <si>
    <t>840006597</t>
  </si>
  <si>
    <t>Vaucluse</t>
  </si>
  <si>
    <t>84</t>
  </si>
  <si>
    <t>Provence-Alpes-Côte d'Azur</t>
  </si>
  <si>
    <t>SAMU84</t>
  </si>
  <si>
    <t>830000345</t>
  </si>
  <si>
    <t>Var</t>
  </si>
  <si>
    <t>83</t>
  </si>
  <si>
    <t>SAMU83</t>
  </si>
  <si>
    <t>130783293</t>
  </si>
  <si>
    <t>Bouches-du-Rhône</t>
  </si>
  <si>
    <t>13</t>
  </si>
  <si>
    <t>SAMU13</t>
  </si>
  <si>
    <t>060001450</t>
  </si>
  <si>
    <t>Alpes-Maritimes</t>
  </si>
  <si>
    <t>06</t>
  </si>
  <si>
    <t>SAMU06</t>
  </si>
  <si>
    <t>050000348</t>
  </si>
  <si>
    <t>Hautes-Alpes</t>
  </si>
  <si>
    <t>05</t>
  </si>
  <si>
    <t>SAMU05</t>
  </si>
  <si>
    <t>040788879</t>
  </si>
  <si>
    <t>Alpes-de-Haute-Provence</t>
  </si>
  <si>
    <t>04</t>
  </si>
  <si>
    <t>SAMU04</t>
  </si>
  <si>
    <t>860780980</t>
  </si>
  <si>
    <t>Vienne</t>
  </si>
  <si>
    <t>86</t>
  </si>
  <si>
    <t>Poitou-Charentes</t>
  </si>
  <si>
    <t>SAMU86</t>
  </si>
  <si>
    <t>790000012</t>
  </si>
  <si>
    <t>Deux-Sèvres</t>
  </si>
  <si>
    <t>79</t>
  </si>
  <si>
    <t>SAMU79</t>
  </si>
  <si>
    <t>170780159</t>
  </si>
  <si>
    <t>Charente-Maritime</t>
  </si>
  <si>
    <t>17</t>
  </si>
  <si>
    <t>SAMU17</t>
  </si>
  <si>
    <t>160000451</t>
  </si>
  <si>
    <t>Charente</t>
  </si>
  <si>
    <t>16</t>
  </si>
  <si>
    <t>SAMU16</t>
  </si>
  <si>
    <t>800000192</t>
  </si>
  <si>
    <t>Somme</t>
  </si>
  <si>
    <t>80</t>
  </si>
  <si>
    <t>Picardie</t>
  </si>
  <si>
    <t>SAMU80</t>
  </si>
  <si>
    <t>600100713</t>
  </si>
  <si>
    <t>Oise</t>
  </si>
  <si>
    <t>60</t>
  </si>
  <si>
    <t>SAMU60</t>
  </si>
  <si>
    <t>020000394</t>
  </si>
  <si>
    <t>Aisne</t>
  </si>
  <si>
    <t>02</t>
  </si>
  <si>
    <t>SAMU02</t>
  </si>
  <si>
    <t>850000142</t>
  </si>
  <si>
    <t>Vendée</t>
  </si>
  <si>
    <t>85</t>
  </si>
  <si>
    <t>Pays de la Loire</t>
  </si>
  <si>
    <t>SAMU85</t>
  </si>
  <si>
    <t>DRM</t>
  </si>
  <si>
    <t>720000025</t>
  </si>
  <si>
    <t>Sarthe</t>
  </si>
  <si>
    <t>72</t>
  </si>
  <si>
    <t>SAMU72</t>
  </si>
  <si>
    <t>530000371</t>
  </si>
  <si>
    <t>Mayenne</t>
  </si>
  <si>
    <t>53</t>
  </si>
  <si>
    <t>SAMU53</t>
  </si>
  <si>
    <t>490000031</t>
  </si>
  <si>
    <t>Maine-et-Loire</t>
  </si>
  <si>
    <t>49</t>
  </si>
  <si>
    <t>SAMU49</t>
  </si>
  <si>
    <t>440000271</t>
  </si>
  <si>
    <t>Loire-Atlantique</t>
  </si>
  <si>
    <t>44</t>
  </si>
  <si>
    <t>SAMU44</t>
  </si>
  <si>
    <t>620100057</t>
  </si>
  <si>
    <t>Pas-de-Calais</t>
  </si>
  <si>
    <t>62</t>
  </si>
  <si>
    <t>Nord-Pas-de-Calais</t>
  </si>
  <si>
    <t>SAMU62</t>
  </si>
  <si>
    <t>590796975</t>
  </si>
  <si>
    <t>Nord</t>
  </si>
  <si>
    <t>59</t>
  </si>
  <si>
    <t>SAMU59</t>
  </si>
  <si>
    <t>820000016</t>
  </si>
  <si>
    <t>Tarn-et-Garonne</t>
  </si>
  <si>
    <t>82</t>
  </si>
  <si>
    <t>Midi-Pyrénées</t>
  </si>
  <si>
    <t>SAMU82</t>
  </si>
  <si>
    <t>810000331</t>
  </si>
  <si>
    <t>Tarn</t>
  </si>
  <si>
    <t>81</t>
  </si>
  <si>
    <t>SAMU81</t>
  </si>
  <si>
    <t>650783160</t>
  </si>
  <si>
    <t>Hautes-Pyrénées</t>
  </si>
  <si>
    <t>65</t>
  </si>
  <si>
    <t>SAMU65</t>
  </si>
  <si>
    <t>460780216</t>
  </si>
  <si>
    <t>Lot</t>
  </si>
  <si>
    <t>46</t>
  </si>
  <si>
    <t>SAMU46</t>
  </si>
  <si>
    <t>320780117</t>
  </si>
  <si>
    <t>Gers</t>
  </si>
  <si>
    <t>32</t>
  </si>
  <si>
    <t>SAMU32</t>
  </si>
  <si>
    <t>310783048</t>
  </si>
  <si>
    <t>Haute-Garonne</t>
  </si>
  <si>
    <t>31</t>
  </si>
  <si>
    <t>SAMU31</t>
  </si>
  <si>
    <t>120780044</t>
  </si>
  <si>
    <t>Aveyron</t>
  </si>
  <si>
    <t>12</t>
  </si>
  <si>
    <t>SAMU12</t>
  </si>
  <si>
    <t>090781774</t>
  </si>
  <si>
    <t>Ariège</t>
  </si>
  <si>
    <t>09</t>
  </si>
  <si>
    <t>SAMU09</t>
  </si>
  <si>
    <t>970200135</t>
  </si>
  <si>
    <t>Martinique</t>
  </si>
  <si>
    <t>972</t>
  </si>
  <si>
    <t>SAMU972</t>
  </si>
  <si>
    <t>880780051</t>
  </si>
  <si>
    <t>Vosges</t>
  </si>
  <si>
    <t>88</t>
  </si>
  <si>
    <t>Lorraine</t>
  </si>
  <si>
    <t>SAMU88</t>
  </si>
  <si>
    <t>570000570</t>
  </si>
  <si>
    <t>Moselle</t>
  </si>
  <si>
    <t>57</t>
  </si>
  <si>
    <t>SAMU57</t>
  </si>
  <si>
    <t>550000020</t>
  </si>
  <si>
    <t>Meuse</t>
  </si>
  <si>
    <t>55</t>
  </si>
  <si>
    <t>SAMU55</t>
  </si>
  <si>
    <t>540001138</t>
  </si>
  <si>
    <t>Meurthe-et-Moselle</t>
  </si>
  <si>
    <t>54</t>
  </si>
  <si>
    <t>SAMU54</t>
  </si>
  <si>
    <t>870000064</t>
  </si>
  <si>
    <t>Haute-Vienne</t>
  </si>
  <si>
    <t>87</t>
  </si>
  <si>
    <t>Limousin</t>
  </si>
  <si>
    <t>SAMU87</t>
  </si>
  <si>
    <t>230780041</t>
  </si>
  <si>
    <t>Creuse</t>
  </si>
  <si>
    <t>23</t>
  </si>
  <si>
    <t>SAMU23</t>
  </si>
  <si>
    <t>190010116</t>
  </si>
  <si>
    <t>Corrèze</t>
  </si>
  <si>
    <t>19</t>
  </si>
  <si>
    <t>SAMU19</t>
  </si>
  <si>
    <t>660780180</t>
  </si>
  <si>
    <t>Pyrénées-Orientales</t>
  </si>
  <si>
    <t>66</t>
  </si>
  <si>
    <t>Languedoc-Roussillon</t>
  </si>
  <si>
    <t>SAMU66</t>
  </si>
  <si>
    <t>480780097</t>
  </si>
  <si>
    <t>Lozère</t>
  </si>
  <si>
    <t>48</t>
  </si>
  <si>
    <t>SAMU48</t>
  </si>
  <si>
    <t>340785161</t>
  </si>
  <si>
    <t>Hérault</t>
  </si>
  <si>
    <t>34</t>
  </si>
  <si>
    <t>SAMU34</t>
  </si>
  <si>
    <t>110780061</t>
  </si>
  <si>
    <t>Aude</t>
  </si>
  <si>
    <t>11</t>
  </si>
  <si>
    <t>SAMU11</t>
  </si>
  <si>
    <t>300780038</t>
  </si>
  <si>
    <t>Gard</t>
  </si>
  <si>
    <t>30</t>
  </si>
  <si>
    <t>SAMU30</t>
  </si>
  <si>
    <t>970421004</t>
  </si>
  <si>
    <t>La Réunion</t>
  </si>
  <si>
    <t>974</t>
  </si>
  <si>
    <t>SAMU974</t>
  </si>
  <si>
    <t>950110080</t>
  </si>
  <si>
    <t>Val-d'Oise</t>
  </si>
  <si>
    <t>95</t>
  </si>
  <si>
    <t>Île-de-France</t>
  </si>
  <si>
    <t>SAMU95</t>
  </si>
  <si>
    <t>940100027</t>
  </si>
  <si>
    <t>Val-de-Marne</t>
  </si>
  <si>
    <t>94</t>
  </si>
  <si>
    <t>SAMU94</t>
  </si>
  <si>
    <t>930100037</t>
  </si>
  <si>
    <t>Seine-Saint-Denis</t>
  </si>
  <si>
    <t>93</t>
  </si>
  <si>
    <t>SAMU93</t>
  </si>
  <si>
    <t>920100054</t>
  </si>
  <si>
    <t>Hauts-de-Seine</t>
  </si>
  <si>
    <t>92</t>
  </si>
  <si>
    <t>SAMU92</t>
  </si>
  <si>
    <t>910000314</t>
  </si>
  <si>
    <t>Essonne</t>
  </si>
  <si>
    <t>91</t>
  </si>
  <si>
    <t>SAMU91</t>
  </si>
  <si>
    <t>780110078</t>
  </si>
  <si>
    <t>Yvelines</t>
  </si>
  <si>
    <t>78</t>
  </si>
  <si>
    <t>SAMU78</t>
  </si>
  <si>
    <t>770110054</t>
  </si>
  <si>
    <t>Seine-et-Marne</t>
  </si>
  <si>
    <t>77</t>
  </si>
  <si>
    <t>SAMU77</t>
  </si>
  <si>
    <t>750100208</t>
  </si>
  <si>
    <t>Paris</t>
  </si>
  <si>
    <t>75</t>
  </si>
  <si>
    <t>SAMU75</t>
  </si>
  <si>
    <t>760805770</t>
  </si>
  <si>
    <t>Seine-Maritime</t>
  </si>
  <si>
    <t>76</t>
  </si>
  <si>
    <t>Haute-Normandie</t>
  </si>
  <si>
    <t>SAMU76B</t>
  </si>
  <si>
    <t>760000158</t>
  </si>
  <si>
    <t>SAMU76A</t>
  </si>
  <si>
    <t>270000359</t>
  </si>
  <si>
    <t>Eure</t>
  </si>
  <si>
    <t>27</t>
  </si>
  <si>
    <t>SAMU27</t>
  </si>
  <si>
    <t>970302022</t>
  </si>
  <si>
    <t>Guyane</t>
  </si>
  <si>
    <t>973</t>
  </si>
  <si>
    <t>SAMU973</t>
  </si>
  <si>
    <t>970100228</t>
  </si>
  <si>
    <t>Guadeloupe</t>
  </si>
  <si>
    <t>971</t>
  </si>
  <si>
    <t>SAMU971</t>
  </si>
  <si>
    <t>900000167</t>
  </si>
  <si>
    <t>Territoire de Belfort</t>
  </si>
  <si>
    <t>90</t>
  </si>
  <si>
    <t>Franche-Comté</t>
  </si>
  <si>
    <t>SAMU90</t>
  </si>
  <si>
    <t>250006954</t>
  </si>
  <si>
    <t>Doubs</t>
  </si>
  <si>
    <t>25</t>
  </si>
  <si>
    <t>SAMU25</t>
  </si>
  <si>
    <t>2B0000020</t>
  </si>
  <si>
    <t>Haute-Corse</t>
  </si>
  <si>
    <t>2B</t>
  </si>
  <si>
    <t>Corse</t>
  </si>
  <si>
    <t>SAMU2B</t>
  </si>
  <si>
    <t>2A0000014</t>
  </si>
  <si>
    <t>Corse-du-Sud</t>
  </si>
  <si>
    <t>2A</t>
  </si>
  <si>
    <t>SAMU2A</t>
  </si>
  <si>
    <t>520780032</t>
  </si>
  <si>
    <t>Haute-Marne</t>
  </si>
  <si>
    <t>52</t>
  </si>
  <si>
    <t>Champagne-Ardenne</t>
  </si>
  <si>
    <t>SAMU52</t>
  </si>
  <si>
    <t>510004302</t>
  </si>
  <si>
    <t>Marne</t>
  </si>
  <si>
    <t>51</t>
  </si>
  <si>
    <t>SAMU51</t>
  </si>
  <si>
    <t>100000090</t>
  </si>
  <si>
    <t>Aube</t>
  </si>
  <si>
    <t>10</t>
  </si>
  <si>
    <t>SAMU10</t>
  </si>
  <si>
    <t>080000615</t>
  </si>
  <si>
    <t>Ardennes</t>
  </si>
  <si>
    <t>08</t>
  </si>
  <si>
    <t>SAMU08</t>
  </si>
  <si>
    <t>450002613</t>
  </si>
  <si>
    <t>Loiret</t>
  </si>
  <si>
    <t>45</t>
  </si>
  <si>
    <t>Centre</t>
  </si>
  <si>
    <t>SAMU45</t>
  </si>
  <si>
    <t>410000087</t>
  </si>
  <si>
    <t>Loir-et-Cher</t>
  </si>
  <si>
    <t>41</t>
  </si>
  <si>
    <t>SAMU41</t>
  </si>
  <si>
    <t>370004467</t>
  </si>
  <si>
    <t>Indre-et-Loire</t>
  </si>
  <si>
    <t>37</t>
  </si>
  <si>
    <t>SAMU37</t>
  </si>
  <si>
    <t>360000053</t>
  </si>
  <si>
    <t>Indre</t>
  </si>
  <si>
    <t>36</t>
  </si>
  <si>
    <t>SAMU36</t>
  </si>
  <si>
    <t>280000183</t>
  </si>
  <si>
    <t>Eure-et-Loir</t>
  </si>
  <si>
    <t>28</t>
  </si>
  <si>
    <t>SAMU28</t>
  </si>
  <si>
    <t>180000028</t>
  </si>
  <si>
    <t>Cher</t>
  </si>
  <si>
    <t>18</t>
  </si>
  <si>
    <t>SAMU18</t>
  </si>
  <si>
    <t>560000127</t>
  </si>
  <si>
    <t>Morbihan</t>
  </si>
  <si>
    <t>56</t>
  </si>
  <si>
    <t>Bretagne</t>
  </si>
  <si>
    <t>SAMU56</t>
  </si>
  <si>
    <t>350000741</t>
  </si>
  <si>
    <t>Ille-et-Vilaine</t>
  </si>
  <si>
    <t>35</t>
  </si>
  <si>
    <t>SAMU35</t>
  </si>
  <si>
    <t>290004324</t>
  </si>
  <si>
    <t>Finistère</t>
  </si>
  <si>
    <t>29</t>
  </si>
  <si>
    <t>SAMU29</t>
  </si>
  <si>
    <t>220000020</t>
  </si>
  <si>
    <t>Côtes-d'Armor</t>
  </si>
  <si>
    <t>22</t>
  </si>
  <si>
    <t>SAMU22</t>
  </si>
  <si>
    <t>890000037</t>
  </si>
  <si>
    <t>Yonne</t>
  </si>
  <si>
    <t>89</t>
  </si>
  <si>
    <t>Bourgogne</t>
  </si>
  <si>
    <t>SAMU89</t>
  </si>
  <si>
    <t>710780958</t>
  </si>
  <si>
    <t>Saône-et-Loire</t>
  </si>
  <si>
    <t>71</t>
  </si>
  <si>
    <t>SAMU71</t>
  </si>
  <si>
    <t>580972693</t>
  </si>
  <si>
    <t>Nièvre</t>
  </si>
  <si>
    <t>58</t>
  </si>
  <si>
    <t>SAMU58</t>
  </si>
  <si>
    <t>210781621</t>
  </si>
  <si>
    <t>Côte-d'Or</t>
  </si>
  <si>
    <t>21</t>
  </si>
  <si>
    <t>SAMU21</t>
  </si>
  <si>
    <t>610000051</t>
  </si>
  <si>
    <t>Orne</t>
  </si>
  <si>
    <t>61</t>
  </si>
  <si>
    <t>Basse-Normandie</t>
  </si>
  <si>
    <t>SAMU61</t>
  </si>
  <si>
    <t>500000112</t>
  </si>
  <si>
    <t>Manche</t>
  </si>
  <si>
    <t>50</t>
  </si>
  <si>
    <t>SAMU50</t>
  </si>
  <si>
    <t>140000209</t>
  </si>
  <si>
    <t>Calvados</t>
  </si>
  <si>
    <t>14</t>
  </si>
  <si>
    <t>SAMU14</t>
  </si>
  <si>
    <t>630000404</t>
  </si>
  <si>
    <t>Puy-de-Dôme</t>
  </si>
  <si>
    <t>63</t>
  </si>
  <si>
    <t>Auvergne</t>
  </si>
  <si>
    <t>SAMU63</t>
  </si>
  <si>
    <t>430000018</t>
  </si>
  <si>
    <t>Haute-Loire</t>
  </si>
  <si>
    <t>43</t>
  </si>
  <si>
    <t>SAMU43</t>
  </si>
  <si>
    <t>150780096</t>
  </si>
  <si>
    <t>Cantal</t>
  </si>
  <si>
    <t>15</t>
  </si>
  <si>
    <t>SAMU15</t>
  </si>
  <si>
    <t>030780092</t>
  </si>
  <si>
    <t>Allier</t>
  </si>
  <si>
    <t>03</t>
  </si>
  <si>
    <t>SAMU03</t>
  </si>
  <si>
    <t>640781290</t>
  </si>
  <si>
    <t>Pyrénées-Atlantiques</t>
  </si>
  <si>
    <t>64</t>
  </si>
  <si>
    <t>Aquitaine</t>
  </si>
  <si>
    <t>SAMU64B</t>
  </si>
  <si>
    <t>640000162</t>
  </si>
  <si>
    <t>SAMU64A</t>
  </si>
  <si>
    <t>470000316</t>
  </si>
  <si>
    <t>Lot-et-Garonne</t>
  </si>
  <si>
    <t>47</t>
  </si>
  <si>
    <t>SAMU47</t>
  </si>
  <si>
    <t>400011177</t>
  </si>
  <si>
    <t>Landes</t>
  </si>
  <si>
    <t>40</t>
  </si>
  <si>
    <t>SAMU40</t>
  </si>
  <si>
    <t>330781360</t>
  </si>
  <si>
    <t>Gironde</t>
  </si>
  <si>
    <t>33</t>
  </si>
  <si>
    <t>SAMU33</t>
  </si>
  <si>
    <t>240000117</t>
  </si>
  <si>
    <t>Dordogne</t>
  </si>
  <si>
    <t>24</t>
  </si>
  <si>
    <t>SAMU24</t>
  </si>
  <si>
    <t>680004546</t>
  </si>
  <si>
    <t>Haut-Rhin</t>
  </si>
  <si>
    <t>68</t>
  </si>
  <si>
    <t>Alsace</t>
  </si>
  <si>
    <t>SAMU68</t>
  </si>
  <si>
    <t>670000025</t>
  </si>
  <si>
    <t>Bas-Rhin</t>
  </si>
  <si>
    <t>67</t>
  </si>
  <si>
    <t>SAMU67</t>
  </si>
  <si>
    <t>FI SAE de rattachement</t>
  </si>
  <si>
    <t>DEP</t>
  </si>
  <si>
    <t>SAMU</t>
  </si>
  <si>
    <t>Centile 80%</t>
  </si>
  <si>
    <t>Assistant social</t>
  </si>
  <si>
    <t>Cadre de santé</t>
  </si>
  <si>
    <t>Secrétaire</t>
  </si>
  <si>
    <t>REGION</t>
  </si>
  <si>
    <t>Outil de modélisation du financement des SAMU - CORRESPONDANCES</t>
  </si>
  <si>
    <t>POPULATION</t>
  </si>
  <si>
    <t>SAMU 1</t>
  </si>
  <si>
    <t>SAMU 2</t>
  </si>
  <si>
    <t>SAMU 3</t>
  </si>
  <si>
    <t xml:space="preserve"> # DEP</t>
  </si>
  <si>
    <t>NOM DEPARTEMENT</t>
  </si>
  <si>
    <t>NOM REGION</t>
  </si>
  <si>
    <t>COEFFICIENT GEOGRAPHIQUE</t>
  </si>
  <si>
    <t>SAMU 4</t>
  </si>
  <si>
    <t>SAMU 5</t>
  </si>
  <si>
    <t>SAMU 6</t>
  </si>
  <si>
    <t>SAMU 7</t>
  </si>
  <si>
    <t>SAMU 8</t>
  </si>
  <si>
    <t>SAMU 9</t>
  </si>
  <si>
    <t>SAMU 10</t>
  </si>
  <si>
    <t>DEP2</t>
  </si>
  <si>
    <t>SAMU2</t>
  </si>
  <si>
    <t>Borne basse</t>
  </si>
  <si>
    <t>Borne haute</t>
  </si>
  <si>
    <t>Situation intermédiaire</t>
  </si>
  <si>
    <t>ETP</t>
  </si>
  <si>
    <t>Superviseur ETP</t>
  </si>
  <si>
    <t>ETP / SAMU</t>
  </si>
  <si>
    <t># ETP</t>
  </si>
  <si>
    <t>Ligne Médicale H 24</t>
  </si>
  <si>
    <t>Coût/ETP superviseur</t>
  </si>
  <si>
    <t>Coût/ETP secrétaire</t>
  </si>
  <si>
    <t>Coût/ETP assistant social</t>
  </si>
  <si>
    <t>Coût/ETP cadre de santé</t>
  </si>
  <si>
    <t>Données DGOS</t>
  </si>
  <si>
    <t>Département</t>
  </si>
  <si>
    <t>Légende des cellules</t>
  </si>
  <si>
    <t>TABLES NOMMEES - LES TABLES ONT ÉTÉ NOMMEES POUR ALIMENTER LES FORMULES DES 3 ONGLETS DECOUVERTS SANS SURCHARGER EXCEL</t>
  </si>
  <si>
    <t>2. Noms des SAMU par régions</t>
  </si>
  <si>
    <t>3. Contenus des listes</t>
  </si>
  <si>
    <t>2. Noms des SAMU par départements</t>
  </si>
  <si>
    <t>DONNEES MODELISATION 2012 - TOUTES REGIONS</t>
  </si>
  <si>
    <t>N/A</t>
  </si>
  <si>
    <t>Dernière MAJ le 3 avril  2014</t>
  </si>
  <si>
    <t>A. Outil de modélisation des JPE régionales de la MIG SAMU - INTRODUCTION &amp; PARAMETRES</t>
  </si>
  <si>
    <t>A. 1 Présentation de la modélisation de la MIG SAMU</t>
  </si>
  <si>
    <t>Frais de fonctionnement</t>
  </si>
  <si>
    <t xml:space="preserve">&lt; 75000 DR </t>
  </si>
  <si>
    <t>Entre 75 000 et 200 000 DR</t>
  </si>
  <si>
    <t>A.2 Méthodologie de la modélisation</t>
  </si>
  <si>
    <t>Seuil</t>
  </si>
  <si>
    <t>Constante</t>
  </si>
  <si>
    <t>Coefficient</t>
  </si>
  <si>
    <t>ARM (DR redressés)</t>
  </si>
  <si>
    <t>REG</t>
  </si>
  <si>
    <t>NOMREG</t>
  </si>
  <si>
    <t>NOMDEP</t>
  </si>
  <si>
    <t xml:space="preserve">DRM 2012 bruts </t>
  </si>
  <si>
    <t>DRM 2012 redressés</t>
  </si>
  <si>
    <t>DR 2012 bruts</t>
  </si>
  <si>
    <t>DR 2012 redressés</t>
  </si>
  <si>
    <t>% DRM PDSA AM</t>
  </si>
  <si>
    <t>Population 2012 (corrigée champ du SAMU)</t>
  </si>
  <si>
    <t>Centile 10%</t>
  </si>
  <si>
    <t>DRM bruts 2012 /habitant</t>
  </si>
  <si>
    <t>DRM redressés par habitant</t>
  </si>
  <si>
    <t>DR bruts 2012 /habitant</t>
  </si>
  <si>
    <t>DR 2012 redressés par habitant</t>
  </si>
  <si>
    <t>DR bruts/habitant</t>
  </si>
  <si>
    <t>DRM bruts /habitant</t>
  </si>
  <si>
    <t>1. Population par département - Source : INSEE, 2012</t>
  </si>
  <si>
    <t>Forfait Institutionnel Dptal</t>
  </si>
  <si>
    <t>C.  Onglet de calculs</t>
  </si>
  <si>
    <t>Saisie manuelle</t>
  </si>
  <si>
    <t>DRM redressés</t>
  </si>
  <si>
    <t>DR redressés</t>
  </si>
  <si>
    <t>% DRM PDSA</t>
  </si>
  <si>
    <t>Si choix = Données DGOS, aucune action n'est nécessaire</t>
  </si>
  <si>
    <t>Si choix = Saisie manuelle, remplir les cellules vertes ci-dessous</t>
  </si>
  <si>
    <t>Coef. Géo.</t>
  </si>
  <si>
    <t>-</t>
  </si>
  <si>
    <t>DR</t>
  </si>
  <si>
    <t>Utiliser le menu déroulant</t>
  </si>
  <si>
    <t xml:space="preserve">C.1 Choix de la région </t>
  </si>
  <si>
    <t>C.2 Choix des données  : données DGOS ou saisie manuelle</t>
  </si>
  <si>
    <t>Ressources humaines</t>
  </si>
  <si>
    <t>Total</t>
  </si>
  <si>
    <t>B. 1 Mode d'emploi à destination des utilisateurs</t>
  </si>
  <si>
    <t>B.2.1 Référentiel de moyens en ressources humaines</t>
  </si>
  <si>
    <t>B.2.2 Paramètres de valorisation</t>
  </si>
  <si>
    <t>&gt; 200 000 DR</t>
  </si>
  <si>
    <t>C.3 Résultats</t>
  </si>
  <si>
    <t>LM H24</t>
  </si>
  <si>
    <t>LARM H24</t>
  </si>
  <si>
    <t>ETP Superviseur</t>
  </si>
  <si>
    <t>ETP Secrétaire</t>
  </si>
  <si>
    <t>ETP Ass. Social</t>
  </si>
  <si>
    <t>ETP cadre de santé</t>
  </si>
  <si>
    <t xml:space="preserve">SAMU </t>
  </si>
  <si>
    <t>Frais Fonct.</t>
  </si>
  <si>
    <t>Med AMU (DRM AMU redressés)</t>
  </si>
  <si>
    <t>DRM AMU redressés</t>
  </si>
  <si>
    <t xml:space="preserve">Forfait Institutionnel </t>
  </si>
  <si>
    <t>1 par département</t>
  </si>
  <si>
    <t>Forfait Dpt</t>
  </si>
  <si>
    <t>Ligne ARM H 24</t>
  </si>
  <si>
    <t>Personnel de régulation - LH24</t>
  </si>
  <si>
    <t>Total ARS</t>
  </si>
  <si>
    <t>Forfait Institutionnel</t>
  </si>
  <si>
    <t>Paramètres modifiables par l'ARS</t>
  </si>
  <si>
    <t>Référentiel de moyens  ou données calculées par la modélisation</t>
  </si>
  <si>
    <t>B.  Mode d'emploi et paramètres</t>
  </si>
  <si>
    <t>B.2  Référentiel de moyens et paramètres de valorisation</t>
  </si>
  <si>
    <t>B.1.1 Possibilité de modifier les paramètres de valorisation</t>
  </si>
  <si>
    <t>Rappel paramètres DGOS</t>
  </si>
  <si>
    <t>L'utilisateur peut, s'il le souhaite, modifier les paramètres de valorisation utilisés par la modélisation dans la partie B.2.2 ci-contre. Pour cela, il suffit de modifier les valeurs dans les cellules vertes. Les paramètres utilisés par la DGOS sont rappelés pour mémoire dans les cellules bleu clair.</t>
  </si>
  <si>
    <t>Rappel Frais Fonct DGOS</t>
  </si>
  <si>
    <t>Paramètres utilisés par l'outil</t>
  </si>
  <si>
    <t>Taux utilisé par l'outil</t>
  </si>
  <si>
    <t>Définitions</t>
  </si>
  <si>
    <t>B.1.2 Utilisation de l'onglet C</t>
  </si>
  <si>
    <t>Choisir d'abord la région en utilisant le menu déroulant C1.</t>
  </si>
  <si>
    <t>Ensuite choisir dans le menu déroulant C2 soit d'utiliser les données d'activité 2012 utilisées par la DGOS soit  d'utiliser des données saisies manuellement par l'utilisateur.</t>
  </si>
  <si>
    <t>Saisie manuelle par SAMU</t>
  </si>
  <si>
    <t>Si l'utilisateur a choisi la saisie manuelle, saisir les données d'activité de chaque SAMU dans les cellules vertes du tableau "Saisie manuelle par SAMU"</t>
  </si>
  <si>
    <r>
      <rPr>
        <b/>
        <sz val="11"/>
        <color theme="1"/>
        <rFont val="Calibri"/>
        <family val="2"/>
        <scheme val="minor"/>
      </rPr>
      <t xml:space="preserve">DRM </t>
    </r>
    <r>
      <rPr>
        <sz val="11"/>
        <color theme="1"/>
        <rFont val="Calibri"/>
        <family val="2"/>
        <scheme val="minor"/>
      </rPr>
      <t>: Dossier de régulation médicalisé</t>
    </r>
  </si>
  <si>
    <r>
      <rPr>
        <b/>
        <sz val="11"/>
        <color theme="1"/>
        <rFont val="Calibri"/>
        <family val="2"/>
        <scheme val="minor"/>
      </rPr>
      <t>DR</t>
    </r>
    <r>
      <rPr>
        <sz val="11"/>
        <color theme="1"/>
        <rFont val="Calibri"/>
        <family val="2"/>
        <scheme val="minor"/>
      </rPr>
      <t xml:space="preserve"> : Dossier de régulation</t>
    </r>
  </si>
  <si>
    <r>
      <rPr>
        <b/>
        <sz val="11"/>
        <color theme="1"/>
        <rFont val="Calibri"/>
        <family val="2"/>
        <scheme val="minor"/>
      </rPr>
      <t>DRM redressés</t>
    </r>
    <r>
      <rPr>
        <sz val="11"/>
        <color theme="1"/>
        <rFont val="Calibri"/>
        <family val="2"/>
        <scheme val="minor"/>
      </rPr>
      <t xml:space="preserve"> : nombre de DRM recalculés pour les SAMU dont le taux de DRM par habitant est au-delà du premier ou du 8ème décile</t>
    </r>
  </si>
  <si>
    <r>
      <rPr>
        <b/>
        <sz val="11"/>
        <color theme="1"/>
        <rFont val="Calibri"/>
        <family val="2"/>
        <scheme val="minor"/>
      </rPr>
      <t>DR redressés</t>
    </r>
    <r>
      <rPr>
        <sz val="11"/>
        <color theme="1"/>
        <rFont val="Calibri"/>
        <family val="2"/>
        <scheme val="minor"/>
      </rPr>
      <t xml:space="preserve"> : même méthodologie que pour les DRM redressés.</t>
    </r>
  </si>
  <si>
    <r>
      <rPr>
        <b/>
        <sz val="11"/>
        <color theme="1"/>
        <rFont val="Calibri"/>
        <family val="2"/>
        <scheme val="minor"/>
      </rPr>
      <t>% DRM PDSA</t>
    </r>
    <r>
      <rPr>
        <sz val="11"/>
        <color theme="1"/>
        <rFont val="Calibri"/>
        <family val="2"/>
        <scheme val="minor"/>
      </rPr>
      <t xml:space="preserve"> : Part des dossiers de régulation médicale réalisée par des médecins libéraux rémunérés par l'Assurance Maladie au tître de la PDSA (FIR)</t>
    </r>
  </si>
  <si>
    <r>
      <rPr>
        <b/>
        <sz val="11"/>
        <color theme="1"/>
        <rFont val="Calibri"/>
        <family val="2"/>
        <scheme val="minor"/>
      </rPr>
      <t xml:space="preserve">DRM AMU redressés </t>
    </r>
    <r>
      <rPr>
        <sz val="11"/>
        <color theme="1"/>
        <rFont val="Calibri"/>
        <family val="2"/>
        <scheme val="minor"/>
      </rPr>
      <t xml:space="preserve"> = DRM redressés - %DRM PDSA</t>
    </r>
  </si>
  <si>
    <r>
      <rPr>
        <b/>
        <sz val="11"/>
        <color theme="1"/>
        <rFont val="Calibri"/>
        <family val="2"/>
        <scheme val="minor"/>
      </rPr>
      <t xml:space="preserve">Ligne médicale H 24 : </t>
    </r>
    <r>
      <rPr>
        <sz val="11"/>
        <color theme="1"/>
        <rFont val="Calibri"/>
        <family val="2"/>
        <scheme val="minor"/>
      </rPr>
      <t>Présence H 24 d'un médecin régulateur hospitalier (8760 heures)</t>
    </r>
  </si>
  <si>
    <r>
      <rPr>
        <b/>
        <sz val="11"/>
        <color theme="1"/>
        <rFont val="Calibri"/>
        <family val="2"/>
        <scheme val="minor"/>
      </rPr>
      <t xml:space="preserve">Ligne ARM H 24 </t>
    </r>
    <r>
      <rPr>
        <sz val="11"/>
        <color theme="1"/>
        <rFont val="Calibri"/>
        <family val="2"/>
        <scheme val="minor"/>
      </rPr>
      <t>: Présence H 24 d'un ARM (8760 heures)</t>
    </r>
  </si>
  <si>
    <r>
      <rPr>
        <b/>
        <sz val="11"/>
        <color theme="1"/>
        <rFont val="Calibri"/>
        <family val="2"/>
        <scheme val="minor"/>
      </rPr>
      <t>Forfait institutionnel :</t>
    </r>
    <r>
      <rPr>
        <sz val="11"/>
        <color theme="1"/>
        <rFont val="Calibri"/>
        <family val="2"/>
        <scheme val="minor"/>
      </rPr>
      <t xml:space="preserve"> Forfait couvrant le financement du rôle instutionnel du SAMU au niveau départemental</t>
    </r>
  </si>
  <si>
    <t xml:space="preserve">Les résultats de l'estimation du besoin de financement par SAMU se lisent dans la partie C3 de l'onglet.  Les résultats de la modélisation sont indicatifs. Ils permettent notamment  à l'ARS de comparer les effectifs estimés nécessaires par chaque SAMU aux effectifs moyens observés à activité équivalente (C.5), et de comparer les coûts unitaires du SAMU aux paramètres de valorisation de la modélisation (B2.2). Dans le cadre du dialogue entre l'ARS et l'établissement, l'établissement doit déterminer les effectifs cibles du SAMU à partir d'une analyse opérationnelle de l’adéquation entre charge de travail et ressources humaines au sein du CRRA. Cette adéquation doit être appréciée  aussi bien au niveau des effectifs totaux que de l'allocation des personnels en fonction des pics et des creux d'activité.  Pour cela les ARS pourront faciliter la  mise en oeuvre d'une démarche similaire à celle utilisée dans le chantier de la Meah consacrée à l'organisation des centres 15 (1) (2). L'ARS basera sa décision finale de financement en confrontant les résultats de la modélisation et ceux de l'analyse opérationnelle. 
(1)   Meah, Organisation des centres 15, Rapport de phase 1 - Diagnostic, février 2007 
(2)   Meah, Organisation des centres 15, Rapport de fin de chantier, février 2008
</t>
  </si>
  <si>
    <t>Priorité  AT</t>
  </si>
  <si>
    <t>Priorité AT</t>
  </si>
  <si>
    <t>Oui</t>
  </si>
  <si>
    <t>C.4 Compléments JPE 2015</t>
  </si>
  <si>
    <t>Données utilisées pour la modélisation 2014</t>
  </si>
  <si>
    <t>Activité 2015 en €</t>
  </si>
  <si>
    <r>
      <t>L'objectif de la  modélisation de la MIG SAMU est de définir des modalités d'allocation transparentes et équitables au niveau des établissements et des ARS, incitant à la mise en place d'organisations performantes et une prise en charge de qualité. 
Pour cela la modélisation de la MIG SAMU est basée sur un référentiel de moyens, c'est-à-dire une estimation des moyens nécessaires à la réalisation de la mission de régulation médicale en fonction du niveau d'activité des Centres de Réception et de Régulation des Appels (CRRA). 
La modélisation de la MIG SAMU mise en œuvre en 2014 fait l’objet d’une délégation régionale directe et indicative, sans fléchage par établissement. Les effets revenus des ARS, c'est à dire l'écart entre le montant régional alloué par l'ARS en 2013 et la somme des montants modélisés pour les SAMU de la région cette même année,  sont lissés progressivement sur trois ans : 20% en 2014, 40% en 2015 et 40% en 2016. La revalorisation de l’enveloppe modélisée de la MIG SAMU se fera dans le cadre des mesures de revalorisation de la MIG. Afin de s’assurer que cette enveloppe ne se déconnecte pas des besoins réels, la DGOS mettra à jour de manière pluri-annuelle les paramètres de la modélisation.
Le référentiel de moyens est pour l’essentiel basé sur l’observation des effectifs de régulation effectivement présents dans les CRRA en 2012. La régulation du financement des SAMU est ici conçue sur trois niveaux différents et cela explique pourquoi il n’y a pas de fléchage par établissement :
•  Au niveau national la modélisation est basée sur les moyennes observées et sert à estimer le besoin de financement des SAMU pour chaque région. La modélisation s’applique alors aux enveloppes MIG régionales en JPE indicative, sans fléchage par établissement.
•   Au niveau régional,  la modélisation doit permettre d’objectiver  les enjeux financiers correspondant à l'amélioration de l'organisation territoriale (</t>
    </r>
    <r>
      <rPr>
        <sz val="11"/>
        <rFont val="Calibri"/>
        <family val="2"/>
        <scheme val="minor"/>
      </rPr>
      <t>mutualisations  des CR</t>
    </r>
    <r>
      <rPr>
        <sz val="11"/>
        <color theme="1"/>
        <rFont val="Calibri"/>
        <family val="2"/>
        <scheme val="minor"/>
      </rPr>
      <t xml:space="preserve">RA à faible activité, transfert d’activité nocturne pour d’autres, problématique des départements avec deux CRRA).  Il est nécessaire que l’ARS analyse les enjeux d’efficience liés à une éventuelle réorganisation territoriale de la régulation médicale, et utilise le levier du financement pour mobiliser l‘ensemble des acteurs locaux.
•  Au niveau le plus fin, c'est à dire l’allocation aux établissements, les résultats de la modélisation sont indicatifs. Ils permettent à l'ARS de comparer les effectifs de chaque SAMU aux effectifs moyens observés, et de comparer les coûts unitaires du SAMU à ceux de la modélisation. L’ARS doit confronter l'estimation des effectifs de la modélisation avec  l'estimation des effectifs estimées nécessaires par l'établissement. Dans le cadre du dialogue entre l'ARS et l'établissement, l'établissement doit déterminer les effectifs cibles du SAMU à partir d'une analyse opérationnelle de l’adéquation entre charge de travail et ressources humaines au sein du CRRA. Cette adéquation doit être appréciée  aussi bien au niveau des effectifs totaux que de l'allocation des personnels en fonction des pics et des creux d'activité.  Pour cela les ARS pourront faciliter la  mise en oeuvre d'une démarche similaire à celle utilisée dans le chantier de la Meah consacrée à l'organisation des centres 15 (1) (2). L'ARS basera sa décision finale de financement en confrontant les résultats de la modélisation et ceux de l'analyse opérationnelle. 
La reconduction année après année par les ARS, sans diagnostic opérationnel, de la modélisation basée sur l’année 2012 ferait courir à terme le risque d’un sous-calibrage structurel des ressources humaines de régulation si l’activité croit et d’une dégradation non maîtrisée de la réponse aux besoins de soins urgents.
(1)   Meah, Organisation des centres 15, Rapport de phase 1 - Diagnostic, février 2007 
(2)   Meah, Organisation des centres 15, Rapport de fin de chantier, février 2008
</t>
    </r>
    <r>
      <rPr>
        <b/>
        <sz val="11"/>
        <color theme="1"/>
        <rFont val="Calibri"/>
        <family val="2"/>
        <scheme val="minor"/>
      </rPr>
      <t/>
    </r>
  </si>
  <si>
    <r>
      <t xml:space="preserve">• Le périmètre de la MIG SAMU a été modifié et ne concerne que l’activité de régulation médicale des Centres de Réception et de Régulation des Appels. Les autres activités jusqu’à présent incluses dans le périmètre seront entièrement financées par ailleurs à partir de 2014. Il s’agit d’une part des charges de maintenance des lots PSM1  qui seront reventilés dans la MIG «  Acquisition et maintenance des moyens zonaux des établissements de santé  pour la gestion des risques liés à  des circonstances exceptionnelles ». Il s’agit d’autre part des Centres d’Enseignement des Soins d’Urgences (CESU) dont le financement sera assuré à partir de 2014 exclusivement par les facturations aux organismes bénéficiaires de ces prestations.
• Le cœur de la modélisation est constitué d’un référentiel de moyens qui estime les ressources humaines nécessaires à la réalisation de la mission de régulation médicale  par les établissements. Ce réféentiel de moyens a été calculé par la DGOS pour les régulateurs médecins hospitaliers et pour les ARM.   Pour les autres catégorie de personnel, le référentiel de moyens correspond à celui de SAMU Urgences De France (Référentiel SUDF, novembre 2011).
• Dans le cadre du référentiel de moyens des médecins régulateurs hospitaliers, l’activité prise en compte est mesurée par le nombre de dossiers de régulation médicale (DRM) réalisés par chaque CRRA, avec redressement du nombre de DRM pour les SAMU dont le taux de DRM par habitant est trop éloigné de la moyenne. Afin d’éviter un double financement, la modélisation déduit  la part d'activité réalisée par des médecins libéraux qui reçoivent par ailleurs un financement de l’Assurance Maladie dans le cadre de la Permanence Des Soins Ambulatoires.
• Pour le référentiel de moyen Assistant de Régulation Médicale (ARM), l’unité de mesure choisie suite à la concertation est le Dossier de Régulation (DR). Comme les DRM, la donnée DR a été redressée pour les SAMU dont le taux de DRM par habitant est trop éloigné de la moyenne. </t>
    </r>
    <r>
      <rPr>
        <sz val="11"/>
        <color rgb="FFFF0000"/>
        <rFont val="Calibri"/>
        <family val="2"/>
        <scheme val="minor"/>
      </rPr>
      <t xml:space="preserve">
</t>
    </r>
    <r>
      <rPr>
        <sz val="11"/>
        <color theme="1"/>
        <rFont val="Calibri"/>
        <family val="2"/>
        <scheme val="minor"/>
      </rPr>
      <t xml:space="preserve">• Le redressement des données DR et DRM a été déterminé afin de minimiser l'écart entre les effectifs de régulation modélisés et les effectifs de régulation observés. Ainsi le nombre de DR et de DRM d'un SAMU sont recalculés quand le taux de DR/habitant ou DRM par habitant est soit inférieur au premier décile ou supérieur au huitième décile. Ce redressement asymétrique est cohérent avec le constat que les moyennes des taux de DRM/habitant et DR/ habitant sont supérieures aux médianes correspondantes. Le calcul de ces redressements figure en détail dans l'onglet technique.
• Le calibrage du référentiel de moyens des régulateurs hospitaliers et des ARM est basé sur les productivités moyennes qui permettent à la modélisation de reproduire les effectifs de régulation existants. Ce calibrage été fait en déterminant les producitivités moyennes reproduisant les effectifs observés pour trois catégories d'établissement, reporduisant ainsi les effets d'échelle.. Afin de lisser les effets de seuil entre ces catégories, une régression linéaire a été effectuée pour obtenir la formule établissant la relation entre l'activité du CRRA et les effectifs modélisés de régulateur hospitalier ou d'ARM.
• Une fois déterminées pour chaque SAMU les ressources humaines correspondant au référentiel de moyen, celles-ci sont valorisées pour estimer le besoin de financement MIG. Un forfait de 50K€ est prévu pour couvrir le financement du rôle institutionnel du  SAMU au niveau départemental.
• A ce montant est ajouté un forfait "Frais de fonctionnement" correspondant aux coûts de fonctionnement et d’exploitation et charges indirectes occasionnées par l’implantation du CRRA dans  l’établissement. Suite à la concertation, ce forfait est modulé en fonction de la taille du SAMU de la façon suivante : 17.5% pour les plus gros SAMU, 12.5% pour les petits SAMU, 15% pour ceux de taille intermédiaire. Le périmètre des charges considérées est le suivant :
o Les coûts de fonctionnement et de maintenance de la plate-forme technique du CRRA (téléphonie, informatique). Les coûts d’investissements ne sont pas couverts par la MIG mais sont financés par ailleurs (FMESPP…).
o Coûts de fonctionnement du CRRA : charges administratives, charges d’exploitation des locaux, restauration, blanchisserie.
o Charges indirectes générées par le CRRA : Coûts de gestion du personnel, finances-comptabilité, direction générale.
Il est important de noter que cette approche constitue un changement de paradigme par rapport aux pratiques généralement en vigueur actuellement, c'est-à-dire l'application au SAMU d'un taux moyen plus généralement appliqué à l'établissement. Dans le cadre de l’exigence de non surcompensation du droit communautaire concernant le financement des missions d’intérêt général, il est impératif que les frais de fonctionnement correspondent à la réalité des charges occasionnées par l’implantation du CRRA dans  l’établissement.
</t>
    </r>
  </si>
  <si>
    <t>Dernière MAJ le 15 avril  2015</t>
  </si>
  <si>
    <t>Estimation du besoin de financement par la modélisation de 2014</t>
  </si>
  <si>
    <t>Activité 2016 en €</t>
  </si>
  <si>
    <t>C.5 Compléments JPE 2016</t>
  </si>
  <si>
    <t>C.7 Liste des SAMU</t>
  </si>
  <si>
    <t>Alsace - Champagne-Ardenne - Lorraine</t>
  </si>
  <si>
    <t>Aquitaine - Limousin - Poitou-Charentes</t>
  </si>
  <si>
    <t>Auvergne - Rhône-Alpes</t>
  </si>
  <si>
    <t>Bourgogne - Franche-Comté</t>
  </si>
  <si>
    <t>Centre-Val de Loire</t>
  </si>
  <si>
    <t>Ile-de-France</t>
  </si>
  <si>
    <t>Languedoc-Roussillon - Midi-Pyrénées</t>
  </si>
  <si>
    <t>Nord-Pas-de-Calais - Picardie</t>
  </si>
  <si>
    <t>Normandie</t>
  </si>
  <si>
    <t>Pays-de-la-Loire</t>
  </si>
  <si>
    <t>France métropolitaine</t>
  </si>
  <si>
    <t>Océan Indien</t>
  </si>
  <si>
    <t>DOM</t>
  </si>
  <si>
    <t>Total dotations régionales</t>
  </si>
  <si>
    <t>C.6 Compléments JPE 2017</t>
  </si>
  <si>
    <t>Modélisation SAMU 2014 (cf C.3 dans l'onglet C)</t>
  </si>
  <si>
    <t>Complément JPE 2015 (cf C.4 dans l'onglet C)</t>
  </si>
  <si>
    <t>JPE 2017</t>
  </si>
  <si>
    <t>Complément JPE 2016 (cf C.5 dans l'onglet C)</t>
  </si>
  <si>
    <t>Complément JPE 2017 (cf C.6 dans l'onglet C)</t>
  </si>
  <si>
    <t>JPE MIG SAMU 2017 en €</t>
  </si>
  <si>
    <t>Région 2015</t>
  </si>
  <si>
    <t>Région 2016</t>
  </si>
  <si>
    <t>Dernière MAJ le 25 février 2017</t>
  </si>
  <si>
    <t>Dernière MAJ le 28 février  2017</t>
  </si>
  <si>
    <t>C.8 Calculs référentiel de moyens RH (pour le besoin de financement de la modélsiation de 2014)</t>
  </si>
  <si>
    <t>C.9 Valorisation RH (pour le besoin de financement de la modélsiation de 2014)</t>
  </si>
  <si>
    <t>A.3 Mise à jour de la modélisation en  2017</t>
  </si>
  <si>
    <t>A.4 Calcul des JPE SAMU par région en 2017</t>
  </si>
  <si>
    <t>Coef géo 2017</t>
  </si>
  <si>
    <t>Activité et 116-117  2017 en €</t>
  </si>
  <si>
    <t>Hausse Coefficient géographique 2017 (en points)</t>
  </si>
  <si>
    <t>Revalo LARM 2015 €</t>
  </si>
  <si>
    <t>Total 2015 ARS</t>
  </si>
  <si>
    <t>Total 2016 ARS</t>
  </si>
  <si>
    <t>Total 2017 ARS</t>
  </si>
  <si>
    <t>JPE 2017 ARS</t>
  </si>
  <si>
    <t>Coef géo 2016</t>
  </si>
  <si>
    <t>Hausse coef géo 2017</t>
  </si>
  <si>
    <t xml:space="preserve">Dernière MAJ le 22 mars 2017 </t>
  </si>
  <si>
    <r>
      <t xml:space="preserve">Les montants de la JPE MIG SAMU alloués aux ARS en 2017 sont construits à partir du montant modélisé en 2014, complété des revalorisations  allouées en 2015, 2016 et 2017 (cf tableau à droite). Pour 2017 cette revalorisation correspond à la hausse d'activité anticipée pour 2017, notamment suite à la mise en oeuvre du N° unique 116-117.
Tout comme lors allocations des JPE SAMU en 2015 et 2016, les revalorisations 2016 de la MIG SAMU n’ont été appliquées qu’aux SAMU qui ne sont pas prioritairement concernés par l’articulation territoriale de la régulation médicale (cf note (1) ci-dessous ). Le détail du calcul de ces revalorisations est disponible dans le tableau C6 de l'onglet C. 
Comme pour l'ensemble de la délégation de la MIG SAMU, le calcul par établissement n'est qu'indicatif afin d'objectiver les critères ayant servi au calcul des JPE MIG SAMU de chaque région. La délégation de la MIG SAMU reste une JPE indicative régionale sans fléchage par établissement, l'ARS étant invitée à mener en parallèle de la modélisation une analyse opérationnelle du besoin de financement des SAMU afin de déterminer le montant à allouer pour chaque établissement. La délégation de la MIG SAMU pourra aussi être utilisée par l'ARS comme un levier pour mettre en oeuvre la territorialisation de la régulation médicale des SAMU.
</t>
    </r>
    <r>
      <rPr>
        <i/>
        <sz val="11"/>
        <color theme="1"/>
        <rFont val="Calibri"/>
        <family val="2"/>
        <scheme val="minor"/>
      </rPr>
      <t>(1)</t>
    </r>
    <r>
      <rPr>
        <sz val="11"/>
        <color theme="1"/>
        <rFont val="Calibri"/>
        <family val="2"/>
        <scheme val="minor"/>
      </rPr>
      <t xml:space="preserve"> </t>
    </r>
    <r>
      <rPr>
        <i/>
        <sz val="11"/>
        <color theme="1"/>
        <rFont val="Calibri"/>
        <family val="2"/>
        <scheme val="minor"/>
      </rPr>
      <t xml:space="preserve">La  CIRCULAIRE N° DGOS/2014/359 du 22 décembre 2014 relative aux modalités d’organisation du travail applicables dans les structures d’urgences-SAMU-SMUR a confirmé que les agences régionales de santé doivent mettre en œuvre une territorialisation de la régulation médicale des SAMU. De plus l'instruction  N° DGOS/RH4/2017/42 du 3 février 2017 a précisé que dans le cadre de l’élaboration des futurs SRS, il est demandé aux ARS de conduire au sein des CTRU un travail prospectif sur un schéma organisationnel tenant compte des perspectives d’évolutions organisationnelles  et réglementaires évoquées dans le rapport de Jean-Yves Grall sur la "Territorialisation des activités d’urgences », dont l'articulation territoriale des SAMU. Sont concernés en priorité les  CRRA dont l’activité est inférieure à 50 000 DRM ou les situations où 2 CRRA co-existent  dans le même département.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</si>
</sst>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0\ &quot;€&quot;;[Red]\-#,##0\ &quot;€&quot;"/>
    <numFmt numFmtId="44" formatCode="_-* #,##0.00\ &quot;€&quot;_-;\-* #,##0.00\ &quot;€&quot;_-;_-* &quot;-&quot;??\ &quot;€&quot;_-;_-@_-"/>
    <numFmt numFmtId="43" formatCode="_-* #,##0.00\ _€_-;\-* #,##0.00\ _€_-;_-* &quot;-&quot;??\ _€_-;_-@_-"/>
    <numFmt numFmtId="164" formatCode="_(* #,##0.00_);_(* \(#,##0.00\);_(* &quot;-&quot;??_);_(@_)"/>
    <numFmt numFmtId="165" formatCode="#,##0.0"/>
    <numFmt numFmtId="166" formatCode="0.0%"/>
    <numFmt numFmtId="167" formatCode="#,##0\ &quot;€&quot;"/>
    <numFmt numFmtId="168" formatCode="#,##0.000"/>
    <numFmt numFmtId="169" formatCode="_-* #,##0\ _€_-;\-* #,##0\ _€_-;_-* &quot;-&quot;??\ _€_-;_-@_-"/>
    <numFmt numFmtId="170" formatCode="00000"/>
    <numFmt numFmtId="171" formatCode="#,##0.0000000000000"/>
    <numFmt numFmtId="172" formatCode="_(* #,##0.000_);_(* \(#,##0.000\);_(* &quot;-&quot;??_);_(@_)"/>
    <numFmt numFmtId="173" formatCode="_-* #,##0\ &quot;€&quot;_-;\-* #,##0\ &quot;€&quot;_-;_-* &quot;-&quot;??\ &quot;€&quot;_-;_-@_-"/>
    <numFmt numFmtId="174" formatCode="_(* #,##0_);_(* \(#,##0\);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b/>
      <sz val="12"/>
      <color theme="4"/>
      <name val="Calibri"/>
      <family val="2"/>
      <scheme val="minor"/>
    </font>
    <font>
      <sz val="10"/>
      <name val="MS Sans Serif"/>
      <family val="2"/>
    </font>
    <font>
      <sz val="10"/>
      <color theme="1"/>
      <name val="Arial"/>
      <family val="2"/>
    </font>
    <font>
      <sz val="10"/>
      <name val="Arial"/>
      <family val="2"/>
    </font>
    <font>
      <b/>
      <sz val="10"/>
      <color theme="1"/>
      <name val="Arial"/>
      <family val="2"/>
    </font>
    <font>
      <b/>
      <sz val="10"/>
      <name val="Arial"/>
      <family val="2"/>
    </font>
    <font>
      <i/>
      <u/>
      <sz val="11"/>
      <color theme="1"/>
      <name val="Calibri"/>
      <family val="2"/>
      <scheme val="minor"/>
    </font>
    <font>
      <b/>
      <u/>
      <sz val="14"/>
      <color theme="4"/>
      <name val="Calibri"/>
      <family val="2"/>
      <scheme val="minor"/>
    </font>
    <font>
      <sz val="11"/>
      <color rgb="FFFF0000"/>
      <name val="Calibri"/>
      <family val="2"/>
      <scheme val="minor"/>
    </font>
    <font>
      <sz val="9"/>
      <color indexed="81"/>
      <name val="Tahoma"/>
      <family val="2"/>
    </font>
    <font>
      <b/>
      <sz val="9"/>
      <color indexed="81"/>
      <name val="Tahoma"/>
      <family val="2"/>
    </font>
    <font>
      <i/>
      <sz val="12"/>
      <color theme="1"/>
      <name val="Calibri"/>
      <family val="2"/>
      <scheme val="minor"/>
    </font>
    <font>
      <sz val="11"/>
      <name val="Calibri"/>
      <family val="2"/>
      <scheme val="minor"/>
    </font>
    <font>
      <b/>
      <sz val="13"/>
      <name val="Calibri"/>
      <family val="2"/>
      <scheme val="minor"/>
    </font>
    <font>
      <b/>
      <sz val="13"/>
      <color theme="1"/>
      <name val="Calibri"/>
      <family val="2"/>
      <scheme val="minor"/>
    </font>
    <font>
      <sz val="12"/>
      <name val="Calibri"/>
      <family val="2"/>
      <scheme val="minor"/>
    </font>
    <font>
      <sz val="12"/>
      <color theme="1"/>
      <name val="Calibri"/>
      <family val="2"/>
      <scheme val="minor"/>
    </font>
    <font>
      <sz val="9"/>
      <name val="Times New Roman"/>
      <family val="1"/>
    </font>
    <font>
      <sz val="10"/>
      <name val="Times New Roman"/>
      <family val="1"/>
    </font>
    <font>
      <b/>
      <sz val="9"/>
      <name val="Times New Roman"/>
      <family val="1"/>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bgColor theme="6"/>
      </patternFill>
    </fill>
    <fill>
      <patternFill patternType="solid">
        <fgColor theme="0" tint="-0.14999847407452621"/>
        <bgColor theme="0" tint="-0.14999847407452621"/>
      </patternFill>
    </fill>
  </fills>
  <borders count="45">
    <border>
      <left/>
      <right/>
      <top/>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0" fontId="8" fillId="0" borderId="0"/>
    <xf numFmtId="0" fontId="9" fillId="0" borderId="0"/>
    <xf numFmtId="0" fontId="8" fillId="0" borderId="0"/>
    <xf numFmtId="9" fontId="1"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cellStyleXfs>
  <cellXfs count="197">
    <xf numFmtId="0" fontId="0" fillId="0" borderId="0" xfId="0"/>
    <xf numFmtId="0" fontId="0" fillId="2" borderId="0" xfId="0" applyFill="1"/>
    <xf numFmtId="0" fontId="7" fillId="2" borderId="0" xfId="0" applyFont="1" applyFill="1"/>
    <xf numFmtId="0" fontId="10" fillId="0" borderId="2" xfId="3" quotePrefix="1" applyNumberFormat="1" applyFont="1" applyBorder="1"/>
    <xf numFmtId="0" fontId="10" fillId="0" borderId="5" xfId="3" quotePrefix="1" applyNumberFormat="1" applyFont="1" applyBorder="1"/>
    <xf numFmtId="0" fontId="10" fillId="0" borderId="6" xfId="3" quotePrefix="1" applyNumberFormat="1" applyFont="1" applyBorder="1"/>
    <xf numFmtId="3" fontId="10" fillId="0" borderId="0" xfId="3" quotePrefix="1" applyNumberFormat="1" applyFont="1" applyBorder="1"/>
    <xf numFmtId="0" fontId="10" fillId="0" borderId="4" xfId="3" quotePrefix="1" applyNumberFormat="1" applyFont="1" applyBorder="1"/>
    <xf numFmtId="0" fontId="10" fillId="0" borderId="7" xfId="3" quotePrefix="1" applyNumberFormat="1" applyFont="1" applyBorder="1"/>
    <xf numFmtId="3" fontId="10" fillId="0" borderId="1" xfId="3" quotePrefix="1" applyNumberFormat="1" applyFont="1" applyBorder="1"/>
    <xf numFmtId="0" fontId="10" fillId="0" borderId="8" xfId="3" quotePrefix="1" applyNumberFormat="1" applyFont="1" applyBorder="1"/>
    <xf numFmtId="0" fontId="10" fillId="0" borderId="9" xfId="3" quotePrefix="1" applyNumberFormat="1" applyFont="1" applyBorder="1"/>
    <xf numFmtId="0" fontId="10" fillId="0" borderId="11" xfId="3" quotePrefix="1" applyNumberFormat="1" applyFont="1" applyBorder="1"/>
    <xf numFmtId="0" fontId="10" fillId="0" borderId="12" xfId="3" quotePrefix="1" applyNumberFormat="1" applyFont="1" applyBorder="1"/>
    <xf numFmtId="0" fontId="10" fillId="0" borderId="14" xfId="3" quotePrefix="1" applyNumberFormat="1" applyFont="1" applyBorder="1"/>
    <xf numFmtId="3" fontId="10" fillId="0" borderId="0" xfId="3" applyNumberFormat="1" applyFont="1" applyFill="1"/>
    <xf numFmtId="0" fontId="2" fillId="7" borderId="20" xfId="0" applyFont="1" applyFill="1" applyBorder="1"/>
    <xf numFmtId="0" fontId="0" fillId="8" borderId="20" xfId="0" applyFill="1" applyBorder="1"/>
    <xf numFmtId="3" fontId="0" fillId="8" borderId="20" xfId="0" applyNumberFormat="1" applyFill="1" applyBorder="1"/>
    <xf numFmtId="0" fontId="0" fillId="5" borderId="0" xfId="0" applyFill="1"/>
    <xf numFmtId="0" fontId="0" fillId="2" borderId="0" xfId="0" applyFill="1" applyAlignment="1">
      <alignment horizontal="center"/>
    </xf>
    <xf numFmtId="0" fontId="2" fillId="7" borderId="20" xfId="0" applyFont="1" applyFill="1" applyBorder="1" applyAlignment="1">
      <alignment horizontal="center"/>
    </xf>
    <xf numFmtId="0" fontId="2" fillId="7" borderId="20" xfId="0" applyFont="1" applyFill="1" applyBorder="1" applyAlignment="1">
      <alignment horizontal="left"/>
    </xf>
    <xf numFmtId="168" fontId="0" fillId="8" borderId="20" xfId="0" applyNumberFormat="1" applyFill="1" applyBorder="1" applyAlignment="1">
      <alignment horizontal="center"/>
    </xf>
    <xf numFmtId="9" fontId="0" fillId="8" borderId="20" xfId="0" applyNumberFormat="1" applyFill="1" applyBorder="1"/>
    <xf numFmtId="0" fontId="0" fillId="2" borderId="0" xfId="0" applyFill="1" applyAlignment="1">
      <alignment horizontal="left"/>
    </xf>
    <xf numFmtId="0" fontId="4" fillId="7" borderId="20" xfId="0" applyFont="1" applyFill="1" applyBorder="1" applyAlignment="1">
      <alignment horizontal="left"/>
    </xf>
    <xf numFmtId="0" fontId="4" fillId="7" borderId="20" xfId="0" applyFont="1" applyFill="1" applyBorder="1"/>
    <xf numFmtId="3" fontId="0" fillId="8" borderId="20" xfId="0" applyNumberFormat="1" applyFill="1" applyBorder="1" applyAlignment="1">
      <alignment horizontal="center" vertical="center"/>
    </xf>
    <xf numFmtId="0" fontId="4" fillId="7" borderId="20" xfId="0" applyFont="1" applyFill="1" applyBorder="1" applyAlignment="1">
      <alignment horizontal="center"/>
    </xf>
    <xf numFmtId="0" fontId="5" fillId="6" borderId="0" xfId="0" applyFont="1" applyFill="1" applyBorder="1" applyAlignment="1">
      <alignment horizontal="left" indent="2"/>
    </xf>
    <xf numFmtId="0" fontId="0" fillId="6" borderId="0" xfId="0" applyFill="1" applyBorder="1"/>
    <xf numFmtId="0" fontId="5" fillId="6" borderId="0" xfId="0" applyFont="1" applyFill="1" applyBorder="1" applyAlignment="1">
      <alignment horizontal="center"/>
    </xf>
    <xf numFmtId="0" fontId="6" fillId="6" borderId="1" xfId="0" applyFont="1" applyFill="1" applyBorder="1" applyAlignment="1">
      <alignment horizontal="left" indent="2"/>
    </xf>
    <xf numFmtId="0" fontId="0" fillId="6" borderId="1" xfId="0" applyFill="1" applyBorder="1"/>
    <xf numFmtId="0" fontId="7" fillId="2" borderId="0" xfId="0" applyFont="1" applyFill="1" applyAlignment="1">
      <alignment horizontal="left" indent="2"/>
    </xf>
    <xf numFmtId="0" fontId="13" fillId="2" borderId="0" xfId="0" applyFont="1" applyFill="1" applyAlignment="1">
      <alignment horizontal="left" indent="2"/>
    </xf>
    <xf numFmtId="9" fontId="12" fillId="2" borderId="0" xfId="0" applyNumberFormat="1" applyFont="1" applyFill="1" applyBorder="1" applyAlignment="1">
      <alignment horizontal="center" vertical="center"/>
    </xf>
    <xf numFmtId="0" fontId="3" fillId="2" borderId="0" xfId="0" applyFont="1" applyFill="1"/>
    <xf numFmtId="0" fontId="14" fillId="2" borderId="0" xfId="0" applyFont="1" applyFill="1"/>
    <xf numFmtId="0" fontId="15" fillId="2" borderId="0" xfId="0" applyFont="1" applyFill="1"/>
    <xf numFmtId="170" fontId="15" fillId="2" borderId="0" xfId="0" applyNumberFormat="1" applyFont="1" applyFill="1" applyAlignment="1">
      <alignment horizontal="left" vertical="center" wrapText="1" indent="2"/>
    </xf>
    <xf numFmtId="170" fontId="15" fillId="2" borderId="0" xfId="0" applyNumberFormat="1" applyFont="1" applyFill="1" applyAlignment="1">
      <alignment vertical="top" wrapText="1"/>
    </xf>
    <xf numFmtId="0" fontId="12" fillId="3" borderId="15" xfId="3" quotePrefix="1" applyNumberFormat="1" applyFont="1" applyFill="1" applyBorder="1" applyAlignment="1">
      <alignment horizontal="center" vertical="center" wrapText="1"/>
    </xf>
    <xf numFmtId="0" fontId="12" fillId="3" borderId="17" xfId="3" quotePrefix="1" applyNumberFormat="1" applyFont="1" applyFill="1" applyBorder="1" applyAlignment="1">
      <alignment horizontal="center" vertical="center" wrapText="1"/>
    </xf>
    <xf numFmtId="0" fontId="12" fillId="3" borderId="16" xfId="3" quotePrefix="1" applyNumberFormat="1" applyFont="1" applyFill="1" applyBorder="1" applyAlignment="1">
      <alignment horizontal="center" vertical="center" wrapText="1"/>
    </xf>
    <xf numFmtId="0" fontId="12" fillId="3" borderId="18" xfId="3" applyNumberFormat="1" applyFont="1" applyFill="1" applyBorder="1" applyAlignment="1">
      <alignment horizontal="center" vertical="center" wrapText="1"/>
    </xf>
    <xf numFmtId="0" fontId="11" fillId="4" borderId="15" xfId="3" quotePrefix="1" applyNumberFormat="1" applyFont="1" applyFill="1" applyBorder="1" applyAlignment="1">
      <alignment horizontal="center" vertical="center" wrapText="1"/>
    </xf>
    <xf numFmtId="0" fontId="12" fillId="10" borderId="22" xfId="3" quotePrefix="1" applyNumberFormat="1" applyFont="1" applyFill="1" applyBorder="1" applyAlignment="1">
      <alignment horizontal="center" vertical="center" wrapText="1"/>
    </xf>
    <xf numFmtId="0" fontId="11" fillId="4" borderId="19" xfId="3" quotePrefix="1" applyNumberFormat="1" applyFont="1" applyFill="1" applyBorder="1" applyAlignment="1">
      <alignment horizontal="center" vertical="center" wrapText="1"/>
    </xf>
    <xf numFmtId="0" fontId="12" fillId="10" borderId="18" xfId="3" quotePrefix="1" applyNumberFormat="1" applyFont="1" applyFill="1" applyBorder="1" applyAlignment="1">
      <alignment horizontal="center" vertical="center" wrapText="1"/>
    </xf>
    <xf numFmtId="3" fontId="11" fillId="10" borderId="18" xfId="3" applyNumberFormat="1" applyFont="1" applyFill="1" applyBorder="1" applyAlignment="1">
      <alignment horizontal="center" vertical="center" wrapText="1"/>
    </xf>
    <xf numFmtId="0" fontId="10" fillId="0" borderId="23" xfId="3" quotePrefix="1" applyNumberFormat="1" applyFont="1" applyBorder="1"/>
    <xf numFmtId="0" fontId="10" fillId="0" borderId="4" xfId="3" quotePrefix="1" applyNumberFormat="1" applyFont="1" applyFill="1" applyBorder="1"/>
    <xf numFmtId="0" fontId="10" fillId="0" borderId="0" xfId="3" quotePrefix="1" applyNumberFormat="1" applyFont="1" applyBorder="1"/>
    <xf numFmtId="3" fontId="10" fillId="0" borderId="23" xfId="3" quotePrefix="1" applyNumberFormat="1" applyFont="1" applyBorder="1"/>
    <xf numFmtId="9" fontId="9" fillId="0" borderId="4" xfId="6" quotePrefix="1" applyFont="1" applyBorder="1"/>
    <xf numFmtId="0" fontId="10" fillId="0" borderId="24" xfId="3" quotePrefix="1" applyNumberFormat="1" applyFont="1" applyBorder="1"/>
    <xf numFmtId="0" fontId="10" fillId="0" borderId="11" xfId="3" quotePrefix="1" applyNumberFormat="1" applyFont="1" applyFill="1" applyBorder="1"/>
    <xf numFmtId="0" fontId="10" fillId="0" borderId="10" xfId="3" quotePrefix="1" applyNumberFormat="1" applyFont="1" applyBorder="1"/>
    <xf numFmtId="3" fontId="10" fillId="0" borderId="24" xfId="3" applyNumberFormat="1" applyFont="1" applyBorder="1"/>
    <xf numFmtId="3" fontId="10" fillId="0" borderId="10" xfId="3" applyNumberFormat="1" applyFont="1" applyBorder="1"/>
    <xf numFmtId="9" fontId="9" fillId="0" borderId="11" xfId="6" applyFont="1" applyBorder="1"/>
    <xf numFmtId="3" fontId="10" fillId="0" borderId="23" xfId="3" applyNumberFormat="1" applyFont="1" applyBorder="1"/>
    <xf numFmtId="3" fontId="10" fillId="0" borderId="0" xfId="3" applyNumberFormat="1" applyFont="1" applyBorder="1"/>
    <xf numFmtId="9" fontId="9" fillId="0" borderId="4" xfId="6" applyFont="1" applyBorder="1"/>
    <xf numFmtId="0" fontId="10" fillId="0" borderId="25" xfId="3" quotePrefix="1" applyNumberFormat="1" applyFont="1" applyBorder="1"/>
    <xf numFmtId="0" fontId="10" fillId="0" borderId="8" xfId="3" quotePrefix="1" applyNumberFormat="1" applyFont="1" applyFill="1" applyBorder="1"/>
    <xf numFmtId="0" fontId="10" fillId="0" borderId="1" xfId="3" quotePrefix="1" applyNumberFormat="1" applyFont="1" applyBorder="1"/>
    <xf numFmtId="3" fontId="10" fillId="0" borderId="25" xfId="3" applyNumberFormat="1" applyFont="1" applyBorder="1"/>
    <xf numFmtId="3" fontId="10" fillId="0" borderId="1" xfId="3" applyNumberFormat="1" applyFont="1" applyBorder="1"/>
    <xf numFmtId="9" fontId="9" fillId="0" borderId="8" xfId="6" applyFont="1" applyBorder="1"/>
    <xf numFmtId="0" fontId="10" fillId="0" borderId="24" xfId="3" applyNumberFormat="1" applyFont="1" applyBorder="1"/>
    <xf numFmtId="0" fontId="10" fillId="0" borderId="25" xfId="3" applyNumberFormat="1" applyFont="1" applyBorder="1"/>
    <xf numFmtId="0" fontId="10" fillId="0" borderId="26" xfId="3" quotePrefix="1" applyNumberFormat="1" applyFont="1" applyBorder="1"/>
    <xf numFmtId="0" fontId="10" fillId="0" borderId="14" xfId="3" quotePrefix="1" applyNumberFormat="1" applyFont="1" applyFill="1" applyBorder="1"/>
    <xf numFmtId="0" fontId="10" fillId="0" borderId="13" xfId="3" quotePrefix="1" applyNumberFormat="1" applyFont="1" applyBorder="1"/>
    <xf numFmtId="3" fontId="10" fillId="0" borderId="26" xfId="3" applyNumberFormat="1" applyFont="1" applyBorder="1"/>
    <xf numFmtId="3" fontId="10" fillId="0" borderId="13" xfId="3" applyNumberFormat="1" applyFont="1" applyBorder="1"/>
    <xf numFmtId="9" fontId="9" fillId="0" borderId="14" xfId="6" applyFont="1" applyBorder="1"/>
    <xf numFmtId="3" fontId="10" fillId="0" borderId="25" xfId="3" quotePrefix="1" applyNumberFormat="1" applyFont="1" applyBorder="1"/>
    <xf numFmtId="9" fontId="9" fillId="0" borderId="8" xfId="6" quotePrefix="1" applyFont="1" applyBorder="1"/>
    <xf numFmtId="0" fontId="10" fillId="0" borderId="27" xfId="3" quotePrefix="1" applyNumberFormat="1" applyFont="1" applyBorder="1"/>
    <xf numFmtId="0" fontId="10" fillId="0" borderId="5" xfId="3" quotePrefix="1" applyNumberFormat="1" applyFont="1" applyFill="1" applyBorder="1"/>
    <xf numFmtId="0" fontId="10" fillId="0" borderId="3" xfId="3" quotePrefix="1" applyNumberFormat="1" applyFont="1" applyBorder="1"/>
    <xf numFmtId="3" fontId="10" fillId="0" borderId="27" xfId="3" applyNumberFormat="1" applyFont="1" applyBorder="1"/>
    <xf numFmtId="3" fontId="10" fillId="0" borderId="3" xfId="3" applyNumberFormat="1" applyFont="1" applyBorder="1"/>
    <xf numFmtId="9" fontId="9" fillId="0" borderId="5" xfId="6" applyFont="1" applyBorder="1"/>
    <xf numFmtId="3" fontId="12" fillId="10" borderId="18" xfId="3" applyNumberFormat="1" applyFont="1" applyFill="1" applyBorder="1" applyAlignment="1">
      <alignment horizontal="center" vertical="center" wrapText="1"/>
    </xf>
    <xf numFmtId="172" fontId="10" fillId="0" borderId="0" xfId="2" applyNumberFormat="1" applyFont="1" applyBorder="1"/>
    <xf numFmtId="172" fontId="10" fillId="0" borderId="10" xfId="2" applyNumberFormat="1" applyFont="1" applyBorder="1"/>
    <xf numFmtId="172" fontId="10" fillId="0" borderId="1" xfId="2" applyNumberFormat="1" applyFont="1" applyBorder="1"/>
    <xf numFmtId="172" fontId="10" fillId="0" borderId="13" xfId="2" applyNumberFormat="1" applyFont="1" applyBorder="1"/>
    <xf numFmtId="172" fontId="10" fillId="0" borderId="3" xfId="2" applyNumberFormat="1" applyFont="1" applyBorder="1"/>
    <xf numFmtId="169" fontId="1" fillId="11" borderId="20" xfId="1" applyNumberFormat="1" applyFont="1" applyFill="1" applyBorder="1" applyAlignment="1">
      <alignment horizontal="center" vertical="center"/>
    </xf>
    <xf numFmtId="171" fontId="1" fillId="11" borderId="20" xfId="1" applyNumberFormat="1" applyFont="1" applyFill="1" applyBorder="1" applyAlignment="1">
      <alignment horizontal="center" vertical="center"/>
    </xf>
    <xf numFmtId="170" fontId="0" fillId="2" borderId="0" xfId="0" applyNumberFormat="1" applyFill="1" applyAlignment="1">
      <alignment vertical="top" wrapText="1"/>
    </xf>
    <xf numFmtId="0" fontId="12" fillId="3" borderId="4" xfId="3" quotePrefix="1" applyNumberFormat="1" applyFont="1" applyFill="1" applyBorder="1" applyAlignment="1">
      <alignment horizontal="center" vertical="center" wrapText="1"/>
    </xf>
    <xf numFmtId="0" fontId="12" fillId="3" borderId="6" xfId="3" quotePrefix="1" applyNumberFormat="1" applyFont="1" applyFill="1" applyBorder="1" applyAlignment="1">
      <alignment horizontal="center" vertical="center" wrapText="1"/>
    </xf>
    <xf numFmtId="0" fontId="12" fillId="3" borderId="0" xfId="3" applyNumberFormat="1" applyFont="1" applyFill="1" applyBorder="1" applyAlignment="1">
      <alignment horizontal="center" vertical="center" wrapText="1"/>
    </xf>
    <xf numFmtId="0" fontId="11" fillId="4" borderId="23" xfId="3" quotePrefix="1" applyNumberFormat="1" applyFont="1" applyFill="1" applyBorder="1" applyAlignment="1">
      <alignment horizontal="center" vertical="center" wrapText="1"/>
    </xf>
    <xf numFmtId="0" fontId="12" fillId="10" borderId="0" xfId="3" quotePrefix="1" applyNumberFormat="1" applyFont="1" applyFill="1" applyBorder="1" applyAlignment="1">
      <alignment horizontal="center" vertical="center" wrapText="1"/>
    </xf>
    <xf numFmtId="0" fontId="11" fillId="4" borderId="0" xfId="3" quotePrefix="1" applyNumberFormat="1" applyFont="1" applyFill="1" applyBorder="1" applyAlignment="1">
      <alignment horizontal="center" vertical="center" wrapText="1"/>
    </xf>
    <xf numFmtId="3" fontId="12" fillId="10" borderId="0" xfId="3" applyNumberFormat="1" applyFont="1" applyFill="1" applyBorder="1" applyAlignment="1">
      <alignment horizontal="center" vertical="center" wrapText="1"/>
    </xf>
    <xf numFmtId="3" fontId="11" fillId="10" borderId="0" xfId="3" applyNumberFormat="1" applyFont="1" applyFill="1" applyBorder="1" applyAlignment="1">
      <alignment horizontal="center" vertical="center" wrapText="1"/>
    </xf>
    <xf numFmtId="0" fontId="12" fillId="3" borderId="23" xfId="3" applyNumberFormat="1" applyFont="1" applyFill="1" applyBorder="1" applyAlignment="1">
      <alignment horizontal="center" vertical="center" wrapText="1"/>
    </xf>
    <xf numFmtId="169" fontId="0" fillId="11" borderId="20" xfId="1" applyNumberFormat="1" applyFont="1" applyFill="1" applyBorder="1" applyAlignment="1">
      <alignment horizontal="center" vertical="center"/>
    </xf>
    <xf numFmtId="0" fontId="11" fillId="4" borderId="30" xfId="3" quotePrefix="1" applyNumberFormat="1" applyFont="1" applyFill="1" applyBorder="1" applyAlignment="1">
      <alignment horizontal="center" vertical="center" wrapText="1"/>
    </xf>
    <xf numFmtId="0" fontId="11" fillId="4" borderId="33" xfId="3" quotePrefix="1" applyNumberFormat="1" applyFont="1" applyFill="1" applyBorder="1" applyAlignment="1">
      <alignment horizontal="center" vertical="center" wrapText="1"/>
    </xf>
    <xf numFmtId="165" fontId="10" fillId="0" borderId="33" xfId="3" applyNumberFormat="1" applyFont="1" applyBorder="1"/>
    <xf numFmtId="165" fontId="10" fillId="0" borderId="34" xfId="3" applyNumberFormat="1" applyFont="1" applyBorder="1"/>
    <xf numFmtId="165" fontId="10" fillId="0" borderId="35" xfId="3" applyNumberFormat="1" applyFont="1" applyBorder="1"/>
    <xf numFmtId="165" fontId="10" fillId="0" borderId="36" xfId="3" applyNumberFormat="1" applyFont="1" applyBorder="1"/>
    <xf numFmtId="165" fontId="10" fillId="0" borderId="37" xfId="3" applyNumberFormat="1" applyFont="1" applyBorder="1"/>
    <xf numFmtId="3" fontId="0" fillId="8" borderId="0" xfId="0" applyNumberFormat="1" applyFill="1" applyBorder="1" applyAlignment="1">
      <alignment horizontal="left" vertical="center"/>
    </xf>
    <xf numFmtId="167" fontId="0" fillId="9" borderId="0" xfId="1" applyNumberFormat="1" applyFont="1" applyFill="1" applyBorder="1" applyAlignment="1">
      <alignment horizontal="left" vertical="center"/>
    </xf>
    <xf numFmtId="173" fontId="1" fillId="11" borderId="20" xfId="7" applyNumberFormat="1" applyFont="1" applyFill="1" applyBorder="1" applyAlignment="1">
      <alignment horizontal="center" vertical="center"/>
    </xf>
    <xf numFmtId="166" fontId="1" fillId="11" borderId="20" xfId="6" applyNumberFormat="1" applyFont="1" applyFill="1" applyBorder="1" applyAlignment="1">
      <alignment horizontal="center" vertical="center"/>
    </xf>
    <xf numFmtId="166" fontId="0" fillId="9" borderId="21" xfId="0" applyNumberFormat="1" applyFill="1" applyBorder="1" applyAlignment="1" applyProtection="1">
      <alignment horizontal="center" vertical="center"/>
      <protection locked="0"/>
    </xf>
    <xf numFmtId="3" fontId="0" fillId="9" borderId="20" xfId="0" applyNumberFormat="1" applyFill="1" applyBorder="1" applyAlignment="1" applyProtection="1">
      <alignment horizontal="center" vertical="center"/>
      <protection locked="0"/>
    </xf>
    <xf numFmtId="9" fontId="0" fillId="9" borderId="20" xfId="6" applyFont="1" applyFill="1" applyBorder="1" applyAlignment="1" applyProtection="1">
      <alignment horizontal="center" vertical="center"/>
      <protection locked="0"/>
    </xf>
    <xf numFmtId="167" fontId="0" fillId="9" borderId="20" xfId="1" applyNumberFormat="1" applyFont="1" applyFill="1" applyBorder="1" applyAlignment="1" applyProtection="1">
      <alignment horizontal="center" vertical="center"/>
      <protection locked="0"/>
    </xf>
    <xf numFmtId="6" fontId="0" fillId="9" borderId="20" xfId="1" applyNumberFormat="1" applyFont="1" applyFill="1" applyBorder="1" applyAlignment="1" applyProtection="1">
      <alignment horizontal="center" vertical="center"/>
      <protection locked="0"/>
    </xf>
    <xf numFmtId="166" fontId="0" fillId="9" borderId="20" xfId="6" applyNumberFormat="1" applyFont="1" applyFill="1" applyBorder="1" applyAlignment="1" applyProtection="1">
      <alignment horizontal="center" vertical="center"/>
      <protection locked="0"/>
    </xf>
    <xf numFmtId="0" fontId="0" fillId="2" borderId="0" xfId="0" applyFill="1" applyAlignment="1"/>
    <xf numFmtId="0" fontId="22" fillId="13" borderId="0" xfId="0" applyFont="1" applyFill="1" applyBorder="1"/>
    <xf numFmtId="3" fontId="23" fillId="13" borderId="23" xfId="2" applyNumberFormat="1" applyFont="1" applyFill="1" applyBorder="1"/>
    <xf numFmtId="0" fontId="22" fillId="0" borderId="0" xfId="0" applyFont="1" applyBorder="1"/>
    <xf numFmtId="3" fontId="23" fillId="0" borderId="23" xfId="2" applyNumberFormat="1" applyFont="1" applyBorder="1"/>
    <xf numFmtId="0" fontId="22" fillId="13" borderId="0" xfId="0" applyFont="1" applyFill="1" applyBorder="1" applyAlignment="1">
      <alignment wrapText="1"/>
    </xf>
    <xf numFmtId="0" fontId="22" fillId="0" borderId="3" xfId="0" applyFont="1" applyBorder="1"/>
    <xf numFmtId="3" fontId="23" fillId="0" borderId="27" xfId="2" applyNumberFormat="1" applyFont="1" applyBorder="1"/>
    <xf numFmtId="0" fontId="0" fillId="6" borderId="1" xfId="0" applyFill="1" applyBorder="1" applyProtection="1"/>
    <xf numFmtId="0" fontId="0" fillId="2" borderId="0" xfId="0" applyFill="1" applyProtection="1"/>
    <xf numFmtId="0" fontId="7" fillId="2" borderId="0" xfId="0" applyFont="1" applyFill="1" applyAlignment="1" applyProtection="1">
      <alignment horizontal="left" indent="2"/>
    </xf>
    <xf numFmtId="0" fontId="18" fillId="2" borderId="0" xfId="0" applyFont="1" applyFill="1" applyProtection="1"/>
    <xf numFmtId="0" fontId="0" fillId="5" borderId="0" xfId="0" applyFill="1" applyProtection="1"/>
    <xf numFmtId="0" fontId="4" fillId="7" borderId="20" xfId="0" applyFont="1" applyFill="1" applyBorder="1" applyAlignment="1" applyProtection="1">
      <alignment horizontal="center"/>
    </xf>
    <xf numFmtId="0" fontId="4" fillId="7" borderId="20" xfId="0" applyFont="1" applyFill="1" applyBorder="1" applyAlignment="1" applyProtection="1">
      <alignment horizontal="center" wrapText="1"/>
    </xf>
    <xf numFmtId="3" fontId="0" fillId="8" borderId="20" xfId="0" applyNumberFormat="1" applyFill="1" applyBorder="1" applyAlignment="1" applyProtection="1">
      <alignment horizontal="center" vertical="center"/>
    </xf>
    <xf numFmtId="49" fontId="0" fillId="8" borderId="20" xfId="0" applyNumberFormat="1" applyFill="1" applyBorder="1" applyAlignment="1" applyProtection="1">
      <alignment horizontal="center" vertical="center"/>
    </xf>
    <xf numFmtId="9" fontId="0" fillId="8" borderId="20" xfId="0" applyNumberFormat="1" applyFill="1" applyBorder="1" applyAlignment="1" applyProtection="1">
      <alignment horizontal="center" vertical="center"/>
    </xf>
    <xf numFmtId="166" fontId="0" fillId="8" borderId="20" xfId="6" applyNumberFormat="1" applyFont="1" applyFill="1" applyBorder="1" applyAlignment="1" applyProtection="1">
      <alignment horizontal="center" vertical="center"/>
    </xf>
    <xf numFmtId="0" fontId="2" fillId="7" borderId="20" xfId="0" applyFont="1" applyFill="1" applyBorder="1" applyAlignment="1" applyProtection="1">
      <alignment horizontal="center"/>
    </xf>
    <xf numFmtId="0" fontId="2" fillId="7" borderId="31" xfId="0" applyFont="1" applyFill="1" applyBorder="1" applyAlignment="1" applyProtection="1">
      <alignment horizontal="center"/>
    </xf>
    <xf numFmtId="165" fontId="0" fillId="8" borderId="20" xfId="0" applyNumberFormat="1" applyFill="1" applyBorder="1" applyAlignment="1" applyProtection="1">
      <alignment horizontal="center" vertical="center"/>
    </xf>
    <xf numFmtId="4" fontId="0" fillId="8" borderId="20" xfId="0" applyNumberFormat="1" applyFill="1" applyBorder="1" applyAlignment="1" applyProtection="1">
      <alignment horizontal="center" vertical="center"/>
    </xf>
    <xf numFmtId="9" fontId="0" fillId="8" borderId="20" xfId="6" applyFont="1" applyFill="1" applyBorder="1" applyAlignment="1" applyProtection="1">
      <alignment horizontal="center" vertical="center"/>
    </xf>
    <xf numFmtId="3" fontId="10" fillId="0" borderId="0" xfId="3" applyNumberFormat="1" applyFont="1" applyFill="1" applyProtection="1"/>
    <xf numFmtId="0" fontId="7" fillId="2" borderId="0" xfId="0" applyFont="1" applyFill="1" applyProtection="1"/>
    <xf numFmtId="0" fontId="24" fillId="0" borderId="15" xfId="0" applyFont="1" applyFill="1" applyBorder="1" applyAlignment="1">
      <alignment horizontal="left" vertical="center" wrapText="1"/>
    </xf>
    <xf numFmtId="0" fontId="24" fillId="0" borderId="23" xfId="0" applyFont="1" applyFill="1" applyBorder="1" applyAlignment="1">
      <alignment horizontal="left" vertical="center"/>
    </xf>
    <xf numFmtId="0" fontId="25" fillId="0" borderId="30" xfId="0" applyFont="1" applyFill="1" applyBorder="1" applyAlignment="1">
      <alignment horizontal="center" vertical="center" wrapText="1"/>
    </xf>
    <xf numFmtId="0" fontId="24" fillId="0" borderId="15" xfId="0" applyFont="1" applyFill="1" applyBorder="1" applyAlignment="1">
      <alignment horizontal="left" vertical="center"/>
    </xf>
    <xf numFmtId="0" fontId="26" fillId="0" borderId="15" xfId="0" applyFont="1" applyFill="1" applyBorder="1" applyAlignment="1">
      <alignment horizontal="left" vertical="center"/>
    </xf>
    <xf numFmtId="3" fontId="0" fillId="8" borderId="44" xfId="0" applyNumberFormat="1" applyFill="1" applyBorder="1" applyAlignment="1" applyProtection="1">
      <alignment horizontal="center" vertical="center"/>
    </xf>
    <xf numFmtId="0" fontId="5" fillId="6" borderId="1" xfId="0" applyFont="1" applyFill="1" applyBorder="1" applyAlignment="1" applyProtection="1">
      <alignment horizontal="left" indent="2"/>
    </xf>
    <xf numFmtId="0" fontId="5" fillId="6" borderId="1" xfId="0" applyFont="1" applyFill="1" applyBorder="1" applyAlignment="1" applyProtection="1">
      <alignment horizontal="center"/>
    </xf>
    <xf numFmtId="3" fontId="3" fillId="8" borderId="44" xfId="0" applyNumberFormat="1" applyFont="1" applyFill="1" applyBorder="1" applyAlignment="1" applyProtection="1">
      <alignment horizontal="center" vertical="center"/>
    </xf>
    <xf numFmtId="3" fontId="3" fillId="8" borderId="20" xfId="0" applyNumberFormat="1" applyFont="1" applyFill="1" applyBorder="1" applyAlignment="1" applyProtection="1">
      <alignment horizontal="center" vertical="center"/>
    </xf>
    <xf numFmtId="3" fontId="23" fillId="13" borderId="39" xfId="2" applyNumberFormat="1" applyFont="1" applyFill="1" applyBorder="1"/>
    <xf numFmtId="3" fontId="23" fillId="0" borderId="39" xfId="2" applyNumberFormat="1" applyFont="1" applyBorder="1"/>
    <xf numFmtId="3" fontId="23" fillId="0" borderId="40" xfId="2" applyNumberFormat="1" applyFont="1" applyBorder="1"/>
    <xf numFmtId="0" fontId="20" fillId="12" borderId="15" xfId="0" applyFont="1" applyFill="1" applyBorder="1" applyAlignment="1">
      <alignment horizontal="center" vertical="center" wrapText="1"/>
    </xf>
    <xf numFmtId="0" fontId="21" fillId="12" borderId="15" xfId="0" applyFont="1" applyFill="1" applyBorder="1" applyAlignment="1">
      <alignment horizontal="center" vertical="center" wrapText="1"/>
    </xf>
    <xf numFmtId="0" fontId="21" fillId="12" borderId="30" xfId="0" applyFont="1" applyFill="1" applyBorder="1" applyAlignment="1">
      <alignment horizontal="center" vertical="center" wrapText="1"/>
    </xf>
    <xf numFmtId="0" fontId="20" fillId="12" borderId="30" xfId="0" applyFont="1" applyFill="1" applyBorder="1" applyAlignment="1">
      <alignment horizontal="center" vertical="center" wrapText="1"/>
    </xf>
    <xf numFmtId="3" fontId="22" fillId="13" borderId="39" xfId="2" applyNumberFormat="1" applyFont="1" applyFill="1" applyBorder="1"/>
    <xf numFmtId="3" fontId="22" fillId="0" borderId="39" xfId="2" applyNumberFormat="1" applyFont="1" applyBorder="1"/>
    <xf numFmtId="3" fontId="22" fillId="0" borderId="40" xfId="2" applyNumberFormat="1" applyFont="1" applyBorder="1"/>
    <xf numFmtId="9" fontId="10" fillId="0" borderId="33" xfId="6" applyFont="1" applyBorder="1"/>
    <xf numFmtId="9" fontId="10" fillId="0" borderId="34" xfId="6" applyFont="1" applyBorder="1"/>
    <xf numFmtId="9" fontId="10" fillId="0" borderId="35" xfId="6" applyFont="1" applyBorder="1"/>
    <xf numFmtId="9" fontId="10" fillId="0" borderId="36" xfId="6" applyFont="1" applyBorder="1"/>
    <xf numFmtId="9" fontId="10" fillId="0" borderId="37" xfId="6" applyFont="1" applyBorder="1"/>
    <xf numFmtId="0" fontId="21" fillId="12" borderId="38" xfId="0" applyFont="1" applyFill="1" applyBorder="1" applyAlignment="1">
      <alignment horizontal="center" vertical="center" wrapText="1"/>
    </xf>
    <xf numFmtId="3" fontId="0" fillId="0" borderId="42" xfId="0" applyNumberFormat="1" applyFont="1" applyBorder="1"/>
    <xf numFmtId="3" fontId="0" fillId="0" borderId="43" xfId="0" applyNumberFormat="1" applyFont="1" applyBorder="1"/>
    <xf numFmtId="3" fontId="0" fillId="0" borderId="41" xfId="0" applyNumberFormat="1" applyFont="1" applyBorder="1"/>
    <xf numFmtId="3" fontId="0" fillId="0" borderId="30" xfId="0" applyNumberFormat="1" applyFont="1" applyBorder="1"/>
    <xf numFmtId="3" fontId="3" fillId="0" borderId="30" xfId="0" applyNumberFormat="1" applyFont="1" applyBorder="1"/>
    <xf numFmtId="43" fontId="0" fillId="8" borderId="32" xfId="1" applyFont="1" applyFill="1" applyBorder="1" applyAlignment="1" applyProtection="1">
      <alignment horizontal="center" vertical="center"/>
    </xf>
    <xf numFmtId="43" fontId="23" fillId="13" borderId="39" xfId="1" applyFont="1" applyFill="1" applyBorder="1"/>
    <xf numFmtId="43" fontId="23" fillId="0" borderId="39" xfId="1" applyFont="1" applyBorder="1"/>
    <xf numFmtId="43" fontId="23" fillId="0" borderId="40" xfId="1" applyFont="1" applyBorder="1"/>
    <xf numFmtId="0" fontId="0" fillId="6" borderId="0" xfId="0" applyFont="1" applyFill="1" applyBorder="1"/>
    <xf numFmtId="0" fontId="3" fillId="2" borderId="0" xfId="0" applyFont="1" applyFill="1" applyAlignment="1">
      <alignment vertical="top"/>
    </xf>
    <xf numFmtId="174" fontId="3" fillId="2" borderId="0" xfId="0" applyNumberFormat="1" applyFont="1" applyFill="1" applyAlignment="1">
      <alignment vertical="top"/>
    </xf>
    <xf numFmtId="43" fontId="3" fillId="2" borderId="0" xfId="1" applyFont="1" applyFill="1" applyAlignment="1">
      <alignment vertical="top"/>
    </xf>
    <xf numFmtId="170" fontId="0" fillId="2" borderId="0" xfId="0" applyNumberFormat="1" applyFill="1" applyAlignment="1">
      <alignment vertical="top" wrapText="1"/>
    </xf>
    <xf numFmtId="0" fontId="0" fillId="2" borderId="0" xfId="0" applyFont="1" applyFill="1" applyAlignment="1">
      <alignment horizontal="justify" vertical="center" wrapText="1"/>
    </xf>
    <xf numFmtId="0" fontId="0" fillId="2" borderId="0" xfId="0" applyFill="1" applyAlignment="1">
      <alignment vertical="top" wrapText="1"/>
    </xf>
    <xf numFmtId="0" fontId="0" fillId="2" borderId="0" xfId="0" applyFill="1" applyAlignment="1">
      <alignment wrapText="1"/>
    </xf>
    <xf numFmtId="0" fontId="0" fillId="0" borderId="0" xfId="0" applyAlignment="1">
      <alignment wrapText="1"/>
    </xf>
    <xf numFmtId="0" fontId="4" fillId="7" borderId="21" xfId="0" applyFont="1" applyFill="1" applyBorder="1" applyAlignment="1" applyProtection="1">
      <alignment horizontal="center"/>
    </xf>
    <xf numFmtId="0" fontId="4" fillId="7" borderId="28" xfId="0" applyFont="1" applyFill="1" applyBorder="1" applyAlignment="1" applyProtection="1">
      <alignment horizontal="center"/>
    </xf>
    <xf numFmtId="0" fontId="4" fillId="7" borderId="29" xfId="0" applyFont="1" applyFill="1" applyBorder="1" applyAlignment="1" applyProtection="1">
      <alignment horizontal="center"/>
    </xf>
  </cellXfs>
  <cellStyles count="9">
    <cellStyle name="Milliers" xfId="1" builtinId="3"/>
    <cellStyle name="Milliers 2" xfId="2"/>
    <cellStyle name="Milliers 2 2" xfId="8"/>
    <cellStyle name="Monétaire" xfId="7" builtinId="4"/>
    <cellStyle name="Normal" xfId="0" builtinId="0"/>
    <cellStyle name="Normal 2" xfId="3"/>
    <cellStyle name="Normal 2 2" xfId="4"/>
    <cellStyle name="Normal 3" xfId="5"/>
    <cellStyle name="Pourcentage" xfId="6"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81"/>
  <sheetViews>
    <sheetView zoomScale="80" zoomScaleNormal="80" workbookViewId="0">
      <selection activeCell="I1" sqref="I1"/>
    </sheetView>
  </sheetViews>
  <sheetFormatPr baseColWidth="10" defaultRowHeight="15" x14ac:dyDescent="0.25"/>
  <cols>
    <col min="1" max="1" width="1.42578125" style="1" customWidth="1"/>
    <col min="2" max="5" width="30.42578125" style="1" customWidth="1"/>
    <col min="6" max="8" width="1.42578125" style="1" customWidth="1"/>
    <col min="9" max="12" width="35.7109375" style="1" customWidth="1"/>
    <col min="13" max="15" width="1.42578125" style="1" customWidth="1"/>
    <col min="16" max="16384" width="11.42578125" style="1"/>
  </cols>
  <sheetData>
    <row r="1" spans="1:14" s="31" customFormat="1" ht="18.75" x14ac:dyDescent="0.3">
      <c r="A1" s="30" t="s">
        <v>469</v>
      </c>
      <c r="E1" s="32"/>
      <c r="H1" s="30"/>
      <c r="I1" s="185" t="s">
        <v>568</v>
      </c>
    </row>
    <row r="3" spans="1:14" ht="18.75" x14ac:dyDescent="0.3">
      <c r="B3" s="39" t="s">
        <v>470</v>
      </c>
      <c r="G3" s="19"/>
      <c r="I3" s="39" t="s">
        <v>474</v>
      </c>
      <c r="N3" s="19"/>
    </row>
    <row r="4" spans="1:14" x14ac:dyDescent="0.25">
      <c r="C4" s="42"/>
      <c r="D4" s="42"/>
      <c r="E4" s="42"/>
      <c r="G4" s="19"/>
      <c r="N4" s="19"/>
    </row>
    <row r="5" spans="1:14" ht="15" customHeight="1" x14ac:dyDescent="0.25">
      <c r="B5" s="189" t="s">
        <v>566</v>
      </c>
      <c r="C5" s="189"/>
      <c r="D5" s="189"/>
      <c r="E5" s="189"/>
      <c r="G5" s="19"/>
      <c r="I5" s="189" t="s">
        <v>567</v>
      </c>
      <c r="J5" s="189"/>
      <c r="K5" s="189"/>
      <c r="L5" s="189"/>
      <c r="N5" s="19"/>
    </row>
    <row r="6" spans="1:14" ht="13.5" customHeight="1" x14ac:dyDescent="0.25">
      <c r="B6" s="189"/>
      <c r="C6" s="189"/>
      <c r="D6" s="189"/>
      <c r="E6" s="189"/>
      <c r="G6" s="19"/>
      <c r="I6" s="189"/>
      <c r="J6" s="189"/>
      <c r="K6" s="189"/>
      <c r="L6" s="189"/>
      <c r="N6" s="19"/>
    </row>
    <row r="7" spans="1:14" x14ac:dyDescent="0.25">
      <c r="B7" s="189"/>
      <c r="C7" s="189"/>
      <c r="D7" s="189"/>
      <c r="E7" s="189"/>
      <c r="G7" s="19"/>
      <c r="I7" s="189"/>
      <c r="J7" s="189"/>
      <c r="K7" s="189"/>
      <c r="L7" s="189"/>
      <c r="N7" s="19"/>
    </row>
    <row r="8" spans="1:14" x14ac:dyDescent="0.25">
      <c r="B8" s="189"/>
      <c r="C8" s="189"/>
      <c r="D8" s="189"/>
      <c r="E8" s="189"/>
      <c r="G8" s="19"/>
      <c r="I8" s="189"/>
      <c r="J8" s="189"/>
      <c r="K8" s="189"/>
      <c r="L8" s="189"/>
      <c r="N8" s="19"/>
    </row>
    <row r="9" spans="1:14" x14ac:dyDescent="0.25">
      <c r="B9" s="189"/>
      <c r="C9" s="189"/>
      <c r="D9" s="189"/>
      <c r="E9" s="189"/>
      <c r="G9" s="19"/>
      <c r="I9" s="189"/>
      <c r="J9" s="189"/>
      <c r="K9" s="189"/>
      <c r="L9" s="189"/>
      <c r="N9" s="19"/>
    </row>
    <row r="10" spans="1:14" x14ac:dyDescent="0.25">
      <c r="B10" s="189"/>
      <c r="C10" s="189"/>
      <c r="D10" s="189"/>
      <c r="E10" s="189"/>
      <c r="G10" s="19"/>
      <c r="I10" s="189"/>
      <c r="J10" s="189"/>
      <c r="K10" s="189"/>
      <c r="L10" s="189"/>
      <c r="N10" s="19"/>
    </row>
    <row r="11" spans="1:14" x14ac:dyDescent="0.25">
      <c r="B11" s="189"/>
      <c r="C11" s="189"/>
      <c r="D11" s="189"/>
      <c r="E11" s="189"/>
      <c r="G11" s="19"/>
      <c r="I11" s="189"/>
      <c r="J11" s="189"/>
      <c r="K11" s="189"/>
      <c r="L11" s="189"/>
      <c r="N11" s="19"/>
    </row>
    <row r="12" spans="1:14" x14ac:dyDescent="0.25">
      <c r="B12" s="189"/>
      <c r="C12" s="189"/>
      <c r="D12" s="189"/>
      <c r="E12" s="189"/>
      <c r="G12" s="19"/>
      <c r="I12" s="189"/>
      <c r="J12" s="189"/>
      <c r="K12" s="189"/>
      <c r="L12" s="189"/>
      <c r="N12" s="19"/>
    </row>
    <row r="13" spans="1:14" x14ac:dyDescent="0.25">
      <c r="B13" s="189"/>
      <c r="C13" s="189"/>
      <c r="D13" s="189"/>
      <c r="E13" s="189"/>
      <c r="G13" s="19"/>
      <c r="I13" s="189"/>
      <c r="J13" s="189"/>
      <c r="K13" s="189"/>
      <c r="L13" s="189"/>
      <c r="N13" s="19"/>
    </row>
    <row r="14" spans="1:14" x14ac:dyDescent="0.25">
      <c r="B14" s="189"/>
      <c r="C14" s="189"/>
      <c r="D14" s="189"/>
      <c r="E14" s="189"/>
      <c r="G14" s="19"/>
      <c r="I14" s="189"/>
      <c r="J14" s="189"/>
      <c r="K14" s="189"/>
      <c r="L14" s="189"/>
      <c r="N14" s="19"/>
    </row>
    <row r="15" spans="1:14" x14ac:dyDescent="0.25">
      <c r="B15" s="189"/>
      <c r="C15" s="189"/>
      <c r="D15" s="189"/>
      <c r="E15" s="189"/>
      <c r="G15" s="19"/>
      <c r="I15" s="189"/>
      <c r="J15" s="189"/>
      <c r="K15" s="189"/>
      <c r="L15" s="189"/>
      <c r="N15" s="19"/>
    </row>
    <row r="16" spans="1:14" x14ac:dyDescent="0.25">
      <c r="B16" s="189"/>
      <c r="C16" s="189"/>
      <c r="D16" s="189"/>
      <c r="E16" s="189"/>
      <c r="G16" s="19"/>
      <c r="I16" s="189"/>
      <c r="J16" s="189"/>
      <c r="K16" s="189"/>
      <c r="L16" s="189"/>
      <c r="N16" s="19"/>
    </row>
    <row r="17" spans="2:14" x14ac:dyDescent="0.25">
      <c r="B17" s="189"/>
      <c r="C17" s="189"/>
      <c r="D17" s="189"/>
      <c r="E17" s="189"/>
      <c r="G17" s="19"/>
      <c r="I17" s="189"/>
      <c r="J17" s="189"/>
      <c r="K17" s="189"/>
      <c r="L17" s="189"/>
      <c r="N17" s="19"/>
    </row>
    <row r="18" spans="2:14" x14ac:dyDescent="0.25">
      <c r="B18" s="189"/>
      <c r="C18" s="189"/>
      <c r="D18" s="189"/>
      <c r="E18" s="189"/>
      <c r="G18" s="19"/>
      <c r="I18" s="189"/>
      <c r="J18" s="189"/>
      <c r="K18" s="189"/>
      <c r="L18" s="189"/>
      <c r="N18" s="19"/>
    </row>
    <row r="19" spans="2:14" x14ac:dyDescent="0.25">
      <c r="B19" s="189"/>
      <c r="C19" s="189"/>
      <c r="D19" s="189"/>
      <c r="E19" s="189"/>
      <c r="G19" s="19"/>
      <c r="I19" s="189"/>
      <c r="J19" s="189"/>
      <c r="K19" s="189"/>
      <c r="L19" s="189"/>
      <c r="N19" s="19"/>
    </row>
    <row r="20" spans="2:14" x14ac:dyDescent="0.25">
      <c r="B20" s="189"/>
      <c r="C20" s="189"/>
      <c r="D20" s="189"/>
      <c r="E20" s="189"/>
      <c r="G20" s="19"/>
      <c r="I20" s="189"/>
      <c r="J20" s="189"/>
      <c r="K20" s="189"/>
      <c r="L20" s="189"/>
      <c r="N20" s="19"/>
    </row>
    <row r="21" spans="2:14" x14ac:dyDescent="0.25">
      <c r="B21" s="189"/>
      <c r="C21" s="189"/>
      <c r="D21" s="189"/>
      <c r="E21" s="189"/>
      <c r="G21" s="19"/>
      <c r="I21" s="189"/>
      <c r="J21" s="189"/>
      <c r="K21" s="189"/>
      <c r="L21" s="189"/>
      <c r="N21" s="19"/>
    </row>
    <row r="22" spans="2:14" x14ac:dyDescent="0.25">
      <c r="B22" s="189"/>
      <c r="C22" s="189"/>
      <c r="D22" s="189"/>
      <c r="E22" s="189"/>
      <c r="G22" s="19"/>
      <c r="I22" s="189"/>
      <c r="J22" s="189"/>
      <c r="K22" s="189"/>
      <c r="L22" s="189"/>
      <c r="N22" s="19"/>
    </row>
    <row r="23" spans="2:14" x14ac:dyDescent="0.25">
      <c r="B23" s="189"/>
      <c r="C23" s="189"/>
      <c r="D23" s="189"/>
      <c r="E23" s="189"/>
      <c r="G23" s="19"/>
      <c r="I23" s="189"/>
      <c r="J23" s="189"/>
      <c r="K23" s="189"/>
      <c r="L23" s="189"/>
      <c r="N23" s="19"/>
    </row>
    <row r="24" spans="2:14" x14ac:dyDescent="0.25">
      <c r="B24" s="189"/>
      <c r="C24" s="189"/>
      <c r="D24" s="189"/>
      <c r="E24" s="189"/>
      <c r="G24" s="19"/>
      <c r="I24" s="189"/>
      <c r="J24" s="189"/>
      <c r="K24" s="189"/>
      <c r="L24" s="189"/>
      <c r="N24" s="19"/>
    </row>
    <row r="25" spans="2:14" x14ac:dyDescent="0.25">
      <c r="B25" s="189"/>
      <c r="C25" s="189"/>
      <c r="D25" s="189"/>
      <c r="E25" s="189"/>
      <c r="G25" s="19"/>
      <c r="I25" s="189"/>
      <c r="J25" s="189"/>
      <c r="K25" s="189"/>
      <c r="L25" s="189"/>
      <c r="N25" s="19"/>
    </row>
    <row r="26" spans="2:14" x14ac:dyDescent="0.25">
      <c r="B26" s="189"/>
      <c r="C26" s="189"/>
      <c r="D26" s="189"/>
      <c r="E26" s="189"/>
      <c r="G26" s="19"/>
      <c r="I26" s="189"/>
      <c r="J26" s="189"/>
      <c r="K26" s="189"/>
      <c r="L26" s="189"/>
      <c r="M26" s="15"/>
      <c r="N26" s="19"/>
    </row>
    <row r="27" spans="2:14" x14ac:dyDescent="0.25">
      <c r="B27" s="189"/>
      <c r="C27" s="189"/>
      <c r="D27" s="189"/>
      <c r="E27" s="189"/>
      <c r="G27" s="19"/>
      <c r="I27" s="189"/>
      <c r="J27" s="189"/>
      <c r="K27" s="189"/>
      <c r="L27" s="189"/>
      <c r="N27" s="19"/>
    </row>
    <row r="28" spans="2:14" x14ac:dyDescent="0.25">
      <c r="B28" s="189"/>
      <c r="C28" s="189"/>
      <c r="D28" s="189"/>
      <c r="E28" s="189"/>
      <c r="G28" s="19"/>
      <c r="I28" s="189"/>
      <c r="J28" s="189"/>
      <c r="K28" s="189"/>
      <c r="L28" s="189"/>
      <c r="N28" s="19"/>
    </row>
    <row r="29" spans="2:14" x14ac:dyDescent="0.25">
      <c r="B29" s="189"/>
      <c r="C29" s="189"/>
      <c r="D29" s="189"/>
      <c r="E29" s="189"/>
      <c r="G29" s="19"/>
      <c r="I29" s="189"/>
      <c r="J29" s="189"/>
      <c r="K29" s="189"/>
      <c r="L29" s="189"/>
      <c r="N29" s="19"/>
    </row>
    <row r="30" spans="2:14" x14ac:dyDescent="0.25">
      <c r="B30" s="189"/>
      <c r="C30" s="189"/>
      <c r="D30" s="189"/>
      <c r="E30" s="189"/>
      <c r="F30" s="15"/>
      <c r="G30" s="19"/>
      <c r="I30" s="189"/>
      <c r="J30" s="189"/>
      <c r="K30" s="189"/>
      <c r="L30" s="189"/>
      <c r="N30" s="19"/>
    </row>
    <row r="31" spans="2:14" x14ac:dyDescent="0.25">
      <c r="B31" s="189"/>
      <c r="C31" s="189"/>
      <c r="D31" s="189"/>
      <c r="E31" s="189"/>
      <c r="G31" s="19"/>
      <c r="I31" s="189"/>
      <c r="J31" s="189"/>
      <c r="K31" s="189"/>
      <c r="L31" s="189"/>
      <c r="N31" s="19"/>
    </row>
    <row r="32" spans="2:14" x14ac:dyDescent="0.25">
      <c r="B32" s="189"/>
      <c r="C32" s="189"/>
      <c r="D32" s="189"/>
      <c r="E32" s="189"/>
      <c r="G32" s="19"/>
      <c r="I32" s="189"/>
      <c r="J32" s="189"/>
      <c r="K32" s="189"/>
      <c r="L32" s="189"/>
      <c r="N32" s="19"/>
    </row>
    <row r="33" spans="2:14" x14ac:dyDescent="0.25">
      <c r="B33" s="189"/>
      <c r="C33" s="189"/>
      <c r="D33" s="189"/>
      <c r="E33" s="189"/>
      <c r="G33" s="19"/>
      <c r="I33" s="189"/>
      <c r="J33" s="189"/>
      <c r="K33" s="189"/>
      <c r="L33" s="189"/>
      <c r="N33" s="19"/>
    </row>
    <row r="34" spans="2:14" x14ac:dyDescent="0.25">
      <c r="B34" s="189"/>
      <c r="C34" s="189"/>
      <c r="D34" s="189"/>
      <c r="E34" s="189"/>
      <c r="G34" s="19"/>
      <c r="I34" s="189"/>
      <c r="J34" s="189"/>
      <c r="K34" s="189"/>
      <c r="L34" s="189"/>
      <c r="N34" s="19"/>
    </row>
    <row r="35" spans="2:14" x14ac:dyDescent="0.25">
      <c r="B35" s="189"/>
      <c r="C35" s="189"/>
      <c r="D35" s="189"/>
      <c r="E35" s="189"/>
      <c r="G35" s="19"/>
      <c r="I35" s="189"/>
      <c r="J35" s="189"/>
      <c r="K35" s="189"/>
      <c r="L35" s="189"/>
      <c r="N35" s="19"/>
    </row>
    <row r="36" spans="2:14" x14ac:dyDescent="0.25">
      <c r="B36" s="189"/>
      <c r="C36" s="189"/>
      <c r="D36" s="189"/>
      <c r="E36" s="189"/>
      <c r="G36" s="19"/>
      <c r="I36" s="189"/>
      <c r="J36" s="189"/>
      <c r="K36" s="189"/>
      <c r="L36" s="189"/>
      <c r="N36" s="19"/>
    </row>
    <row r="37" spans="2:14" x14ac:dyDescent="0.25">
      <c r="B37" s="189"/>
      <c r="C37" s="189"/>
      <c r="D37" s="189"/>
      <c r="E37" s="189"/>
      <c r="G37" s="19"/>
      <c r="I37" s="189"/>
      <c r="J37" s="189"/>
      <c r="K37" s="189"/>
      <c r="L37" s="189"/>
      <c r="N37" s="19"/>
    </row>
    <row r="38" spans="2:14" x14ac:dyDescent="0.25">
      <c r="B38" s="189"/>
      <c r="C38" s="189"/>
      <c r="D38" s="189"/>
      <c r="E38" s="189"/>
      <c r="G38" s="19"/>
      <c r="I38" s="189"/>
      <c r="J38" s="189"/>
      <c r="K38" s="189"/>
      <c r="L38" s="189"/>
      <c r="N38" s="19"/>
    </row>
    <row r="39" spans="2:14" x14ac:dyDescent="0.25">
      <c r="B39" s="189"/>
      <c r="C39" s="189"/>
      <c r="D39" s="189"/>
      <c r="E39" s="189"/>
      <c r="G39" s="19"/>
      <c r="I39" s="189"/>
      <c r="J39" s="189"/>
      <c r="K39" s="189"/>
      <c r="L39" s="189"/>
      <c r="N39" s="19"/>
    </row>
    <row r="40" spans="2:14" x14ac:dyDescent="0.25">
      <c r="B40" s="189"/>
      <c r="C40" s="189"/>
      <c r="D40" s="189"/>
      <c r="E40" s="189"/>
      <c r="G40" s="19"/>
      <c r="I40" s="189"/>
      <c r="J40" s="189"/>
      <c r="K40" s="189"/>
      <c r="L40" s="189"/>
      <c r="N40" s="19"/>
    </row>
    <row r="41" spans="2:14" x14ac:dyDescent="0.25">
      <c r="B41" s="189"/>
      <c r="C41" s="189"/>
      <c r="D41" s="189"/>
      <c r="E41" s="189"/>
      <c r="G41" s="19"/>
      <c r="I41" s="189"/>
      <c r="J41" s="189"/>
      <c r="K41" s="189"/>
      <c r="L41" s="189"/>
      <c r="N41" s="19"/>
    </row>
    <row r="42" spans="2:14" x14ac:dyDescent="0.25">
      <c r="B42" s="189"/>
      <c r="C42" s="189"/>
      <c r="D42" s="189"/>
      <c r="E42" s="189"/>
      <c r="G42" s="19"/>
      <c r="I42" s="189"/>
      <c r="J42" s="189"/>
      <c r="K42" s="189"/>
      <c r="L42" s="189"/>
      <c r="N42" s="19"/>
    </row>
    <row r="43" spans="2:14" x14ac:dyDescent="0.25">
      <c r="B43" s="189"/>
      <c r="C43" s="189"/>
      <c r="D43" s="189"/>
      <c r="E43" s="189"/>
      <c r="G43" s="19"/>
      <c r="I43" s="189"/>
      <c r="J43" s="189"/>
      <c r="K43" s="189"/>
      <c r="L43" s="189"/>
      <c r="N43" s="19"/>
    </row>
    <row r="44" spans="2:14" x14ac:dyDescent="0.25">
      <c r="B44" s="189"/>
      <c r="C44" s="189"/>
      <c r="D44" s="189"/>
      <c r="E44" s="189"/>
      <c r="G44" s="19"/>
      <c r="I44" s="189"/>
      <c r="J44" s="189"/>
      <c r="K44" s="189"/>
      <c r="L44" s="189"/>
      <c r="N44" s="19"/>
    </row>
    <row r="45" spans="2:14" x14ac:dyDescent="0.25">
      <c r="B45" s="189"/>
      <c r="C45" s="189"/>
      <c r="D45" s="189"/>
      <c r="E45" s="189"/>
      <c r="G45" s="19"/>
      <c r="I45" s="189"/>
      <c r="J45" s="189"/>
      <c r="K45" s="189"/>
      <c r="L45" s="189"/>
      <c r="N45" s="19"/>
    </row>
    <row r="46" spans="2:14" x14ac:dyDescent="0.25">
      <c r="B46" s="189"/>
      <c r="C46" s="189"/>
      <c r="D46" s="189"/>
      <c r="E46" s="189"/>
      <c r="G46" s="19"/>
      <c r="I46" s="189"/>
      <c r="J46" s="189"/>
      <c r="K46" s="189"/>
      <c r="L46" s="189"/>
      <c r="N46" s="19"/>
    </row>
    <row r="47" spans="2:14" x14ac:dyDescent="0.25">
      <c r="B47" s="189"/>
      <c r="C47" s="189"/>
      <c r="D47" s="189"/>
      <c r="E47" s="189"/>
      <c r="G47" s="19"/>
      <c r="I47" s="189"/>
      <c r="J47" s="189"/>
      <c r="K47" s="189"/>
      <c r="L47" s="189"/>
      <c r="N47" s="19"/>
    </row>
    <row r="48" spans="2:14" ht="15" customHeight="1" x14ac:dyDescent="0.25">
      <c r="B48" s="189"/>
      <c r="C48" s="189"/>
      <c r="D48" s="189"/>
      <c r="E48" s="189"/>
      <c r="G48" s="19"/>
      <c r="I48" s="96"/>
      <c r="J48" s="96"/>
      <c r="K48" s="96"/>
      <c r="L48" s="96"/>
      <c r="N48" s="19"/>
    </row>
    <row r="49" spans="2:12" x14ac:dyDescent="0.25">
      <c r="B49" s="41"/>
      <c r="C49" s="41"/>
      <c r="D49" s="41"/>
      <c r="E49" s="41"/>
      <c r="I49" s="96"/>
      <c r="J49" s="96"/>
      <c r="K49" s="96"/>
      <c r="L49" s="96"/>
    </row>
    <row r="50" spans="2:12" x14ac:dyDescent="0.25">
      <c r="B50" s="41"/>
      <c r="C50" s="41"/>
      <c r="D50" s="41"/>
      <c r="E50" s="41"/>
      <c r="I50" s="96"/>
      <c r="J50" s="96"/>
      <c r="K50" s="96"/>
      <c r="L50" s="96"/>
    </row>
    <row r="51" spans="2:12" x14ac:dyDescent="0.25">
      <c r="B51" s="41"/>
      <c r="C51" s="41"/>
      <c r="D51" s="41"/>
      <c r="E51" s="41"/>
      <c r="I51" s="96"/>
      <c r="J51" s="96"/>
      <c r="K51" s="96"/>
      <c r="L51" s="96"/>
    </row>
    <row r="52" spans="2:12" x14ac:dyDescent="0.25">
      <c r="B52" s="41"/>
      <c r="C52" s="41"/>
      <c r="D52" s="41"/>
      <c r="E52" s="41"/>
      <c r="I52" s="96"/>
      <c r="J52" s="96"/>
      <c r="K52" s="96"/>
      <c r="L52" s="96"/>
    </row>
    <row r="58" spans="2:12" x14ac:dyDescent="0.25">
      <c r="D58" s="20"/>
      <c r="E58" s="20"/>
    </row>
    <row r="59" spans="2:12" x14ac:dyDescent="0.25">
      <c r="E59" s="20"/>
    </row>
    <row r="60" spans="2:12" x14ac:dyDescent="0.25">
      <c r="D60" s="20"/>
    </row>
    <row r="81" spans="2:2" ht="15.75" x14ac:dyDescent="0.25">
      <c r="B81" s="2"/>
    </row>
  </sheetData>
  <sheetProtection sheet="1" objects="1" scenarios="1"/>
  <mergeCells count="2">
    <mergeCell ref="I5:L47"/>
    <mergeCell ref="B5:E48"/>
  </mergeCell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topLeftCell="A2" zoomScale="85" zoomScaleNormal="85" workbookViewId="0">
      <selection activeCell="M7" sqref="M7"/>
    </sheetView>
  </sheetViews>
  <sheetFormatPr baseColWidth="10" defaultRowHeight="15" x14ac:dyDescent="0.25"/>
  <cols>
    <col min="1" max="1" width="59.42578125" style="1" customWidth="1"/>
    <col min="2" max="4" width="1.42578125" style="1" customWidth="1"/>
    <col min="5" max="5" width="28.5703125" style="1" customWidth="1"/>
    <col min="6" max="9" width="15.7109375" style="1" customWidth="1"/>
    <col min="10" max="10" width="17.85546875" style="1" bestFit="1" customWidth="1"/>
    <col min="11" max="11" width="11.42578125" style="1"/>
    <col min="12" max="12" width="33.7109375" style="1" bestFit="1" customWidth="1"/>
    <col min="13" max="16384" width="11.42578125" style="1"/>
  </cols>
  <sheetData>
    <row r="1" spans="1:13" s="31" customFormat="1" ht="18.75" x14ac:dyDescent="0.3">
      <c r="A1" s="30" t="s">
        <v>469</v>
      </c>
      <c r="E1" s="32"/>
    </row>
    <row r="2" spans="1:13" s="34" customFormat="1" x14ac:dyDescent="0.25">
      <c r="A2" s="33" t="s">
        <v>612</v>
      </c>
    </row>
    <row r="3" spans="1:13" customFormat="1" x14ac:dyDescent="0.25">
      <c r="A3" s="1"/>
      <c r="B3" s="1"/>
      <c r="C3" s="1"/>
      <c r="D3" s="1"/>
      <c r="E3" s="1"/>
    </row>
    <row r="4" spans="1:13" customFormat="1" ht="18.75" x14ac:dyDescent="0.3">
      <c r="A4" s="39" t="s">
        <v>600</v>
      </c>
      <c r="C4" s="19"/>
      <c r="D4" s="1"/>
      <c r="E4" s="39" t="s">
        <v>601</v>
      </c>
    </row>
    <row r="5" spans="1:13" customFormat="1" ht="19.5" thickBot="1" x14ac:dyDescent="0.35">
      <c r="A5" s="39"/>
      <c r="B5" s="1"/>
      <c r="C5" s="19"/>
      <c r="D5" s="1"/>
      <c r="E5" s="1"/>
    </row>
    <row r="6" spans="1:13" customFormat="1" ht="99.75" customHeight="1" thickBot="1" x14ac:dyDescent="0.3">
      <c r="A6" s="190" t="s">
        <v>613</v>
      </c>
      <c r="B6" s="1"/>
      <c r="C6" s="19"/>
      <c r="D6" s="1"/>
      <c r="E6" s="163" t="s">
        <v>594</v>
      </c>
      <c r="F6" s="166" t="s">
        <v>588</v>
      </c>
      <c r="G6" s="164" t="s">
        <v>589</v>
      </c>
      <c r="H6" s="165" t="s">
        <v>591</v>
      </c>
      <c r="I6" s="165" t="s">
        <v>592</v>
      </c>
      <c r="J6" s="175" t="s">
        <v>590</v>
      </c>
      <c r="L6" s="150" t="s">
        <v>595</v>
      </c>
      <c r="M6" s="152" t="s">
        <v>593</v>
      </c>
    </row>
    <row r="7" spans="1:13" customFormat="1" ht="15.75" x14ac:dyDescent="0.25">
      <c r="A7" s="190"/>
      <c r="B7" s="1"/>
      <c r="C7" s="19"/>
      <c r="D7" s="1"/>
      <c r="E7" s="125" t="s">
        <v>415</v>
      </c>
      <c r="F7" s="167">
        <v>5707762.1941365032</v>
      </c>
      <c r="G7" s="126">
        <v>455745.06410939345</v>
      </c>
      <c r="H7" s="160">
        <v>106199.61504350748</v>
      </c>
      <c r="I7" s="160">
        <v>134949.53485825227</v>
      </c>
      <c r="J7" s="182">
        <v>6404656.4081476564</v>
      </c>
      <c r="L7" s="151" t="s">
        <v>573</v>
      </c>
      <c r="M7" s="176">
        <v>22543527.100805037</v>
      </c>
    </row>
    <row r="8" spans="1:13" customFormat="1" ht="15" customHeight="1" x14ac:dyDescent="0.25">
      <c r="A8" s="190"/>
      <c r="B8" s="1"/>
      <c r="C8" s="19"/>
      <c r="D8" s="1"/>
      <c r="E8" s="127" t="s">
        <v>392</v>
      </c>
      <c r="F8" s="168">
        <v>12747175.347320836</v>
      </c>
      <c r="G8" s="128">
        <v>679351.6941498376</v>
      </c>
      <c r="H8" s="161">
        <v>177503.08291404994</v>
      </c>
      <c r="I8" s="161">
        <v>225555.98215062695</v>
      </c>
      <c r="J8" s="183">
        <v>13829586.106535349</v>
      </c>
      <c r="L8" s="151" t="s">
        <v>574</v>
      </c>
      <c r="M8" s="177">
        <v>26980090.062966056</v>
      </c>
    </row>
    <row r="9" spans="1:13" customFormat="1" ht="15.75" x14ac:dyDescent="0.25">
      <c r="A9" s="190"/>
      <c r="B9" s="1"/>
      <c r="C9" s="19"/>
      <c r="D9" s="1"/>
      <c r="E9" s="125" t="s">
        <v>375</v>
      </c>
      <c r="F9" s="167">
        <v>6677267.6683722176</v>
      </c>
      <c r="G9" s="126">
        <v>265769.9144095626</v>
      </c>
      <c r="H9" s="160">
        <v>74186.450176643644</v>
      </c>
      <c r="I9" s="160">
        <v>94269.898624599708</v>
      </c>
      <c r="J9" s="182">
        <v>7111493.9315830236</v>
      </c>
      <c r="L9" s="151" t="s">
        <v>575</v>
      </c>
      <c r="M9" s="177">
        <v>29127321.225849625</v>
      </c>
    </row>
    <row r="10" spans="1:13" customFormat="1" ht="15.75" x14ac:dyDescent="0.25">
      <c r="A10" s="190"/>
      <c r="B10" s="1"/>
      <c r="C10" s="19"/>
      <c r="D10" s="1"/>
      <c r="E10" s="127" t="s">
        <v>362</v>
      </c>
      <c r="F10" s="168">
        <v>5266620.0413927855</v>
      </c>
      <c r="G10" s="128">
        <v>385144.58599728509</v>
      </c>
      <c r="H10" s="161">
        <v>97991.647506076712</v>
      </c>
      <c r="I10" s="161">
        <v>124519.54035352517</v>
      </c>
      <c r="J10" s="183">
        <v>5874275.8152496722</v>
      </c>
      <c r="L10" s="151" t="s">
        <v>576</v>
      </c>
      <c r="M10" s="177">
        <v>12222210.153244372</v>
      </c>
    </row>
    <row r="11" spans="1:13" customFormat="1" ht="15.75" x14ac:dyDescent="0.25">
      <c r="A11" s="190"/>
      <c r="B11" s="1"/>
      <c r="C11" s="19"/>
      <c r="D11" s="1"/>
      <c r="E11" s="125" t="s">
        <v>345</v>
      </c>
      <c r="F11" s="167">
        <v>6568552.6546251476</v>
      </c>
      <c r="G11" s="126">
        <v>351184.05838356598</v>
      </c>
      <c r="H11" s="160">
        <v>93378.605800268473</v>
      </c>
      <c r="I11" s="160">
        <v>118657.67510829328</v>
      </c>
      <c r="J11" s="182">
        <v>7131772.9939172752</v>
      </c>
      <c r="L11" s="151" t="s">
        <v>328</v>
      </c>
      <c r="M11" s="177">
        <v>10245952.060476679</v>
      </c>
    </row>
    <row r="12" spans="1:13" customFormat="1" ht="15.75" x14ac:dyDescent="0.25">
      <c r="A12" s="190"/>
      <c r="B12" s="1"/>
      <c r="C12" s="19"/>
      <c r="D12" s="1"/>
      <c r="E12" s="127" t="s">
        <v>328</v>
      </c>
      <c r="F12" s="168">
        <v>9223232.0738851372</v>
      </c>
      <c r="G12" s="128">
        <v>633044.5764546406</v>
      </c>
      <c r="H12" s="161">
        <v>171609.05839941301</v>
      </c>
      <c r="I12" s="161">
        <v>218066.35173748899</v>
      </c>
      <c r="J12" s="183">
        <v>10245952.060476683</v>
      </c>
      <c r="L12" s="151" t="s">
        <v>577</v>
      </c>
      <c r="M12" s="177">
        <v>12009333.907063095</v>
      </c>
    </row>
    <row r="13" spans="1:13" customFormat="1" ht="15.75" x14ac:dyDescent="0.25">
      <c r="A13" s="190"/>
      <c r="B13" s="1"/>
      <c r="C13" s="19"/>
      <c r="D13" s="1"/>
      <c r="E13" s="125" t="s">
        <v>303</v>
      </c>
      <c r="F13" s="167">
        <v>10841748.85544477</v>
      </c>
      <c r="G13" s="126">
        <v>709528.38579845277</v>
      </c>
      <c r="H13" s="160">
        <v>201723.46283617552</v>
      </c>
      <c r="I13" s="160">
        <v>256333.20298369642</v>
      </c>
      <c r="J13" s="182">
        <v>12009333.907063095</v>
      </c>
      <c r="L13" s="151" t="s">
        <v>277</v>
      </c>
      <c r="M13" s="177">
        <v>2856786.4161628578</v>
      </c>
    </row>
    <row r="14" spans="1:13" customFormat="1" ht="15.75" x14ac:dyDescent="0.25">
      <c r="A14" s="190"/>
      <c r="B14" s="1"/>
      <c r="C14" s="19"/>
      <c r="D14" s="1"/>
      <c r="E14" s="127" t="s">
        <v>286</v>
      </c>
      <c r="F14" s="168">
        <v>6183088.6521136779</v>
      </c>
      <c r="G14" s="128">
        <v>233526.68323855335</v>
      </c>
      <c r="H14" s="161">
        <v>62952.367187612777</v>
      </c>
      <c r="I14" s="161">
        <v>79994.571229979367</v>
      </c>
      <c r="J14" s="183">
        <v>6559562.2737698238</v>
      </c>
      <c r="L14" s="151" t="s">
        <v>578</v>
      </c>
      <c r="M14" s="177">
        <v>33849175.088639461</v>
      </c>
    </row>
    <row r="15" spans="1:13" customFormat="1" ht="15.75" x14ac:dyDescent="0.25">
      <c r="A15" s="190"/>
      <c r="B15" s="1"/>
      <c r="C15" s="19"/>
      <c r="D15" s="1"/>
      <c r="E15" s="125" t="s">
        <v>277</v>
      </c>
      <c r="F15" s="167">
        <v>2779575.9724827805</v>
      </c>
      <c r="G15" s="126">
        <v>0</v>
      </c>
      <c r="H15" s="160">
        <v>0</v>
      </c>
      <c r="I15" s="160">
        <v>77210.443680077238</v>
      </c>
      <c r="J15" s="182">
        <v>2856786.4161628573</v>
      </c>
      <c r="L15" s="151" t="s">
        <v>579</v>
      </c>
      <c r="M15" s="177">
        <v>25903746.611348901</v>
      </c>
    </row>
    <row r="16" spans="1:13" customFormat="1" ht="15.75" x14ac:dyDescent="0.25">
      <c r="A16" s="190"/>
      <c r="B16" s="1"/>
      <c r="C16" s="19"/>
      <c r="D16" s="1"/>
      <c r="E16" s="127" t="s">
        <v>268</v>
      </c>
      <c r="F16" s="168">
        <v>4680217.4085958488</v>
      </c>
      <c r="G16" s="128">
        <v>263306.53847317077</v>
      </c>
      <c r="H16" s="161">
        <v>64699.073552484137</v>
      </c>
      <c r="I16" s="161">
        <v>82214.138705593752</v>
      </c>
      <c r="J16" s="183">
        <v>5090437.1593270972</v>
      </c>
      <c r="L16" s="151" t="s">
        <v>580</v>
      </c>
      <c r="M16" s="177">
        <v>20306475.671337262</v>
      </c>
    </row>
    <row r="17" spans="1:13" customFormat="1" ht="15.75" x14ac:dyDescent="0.25">
      <c r="A17" s="190"/>
      <c r="B17" s="1"/>
      <c r="C17" s="19"/>
      <c r="D17" s="1"/>
      <c r="E17" s="125" t="s">
        <v>262</v>
      </c>
      <c r="F17" s="167">
        <v>2131313.6980430232</v>
      </c>
      <c r="G17" s="126">
        <v>150046.7770370483</v>
      </c>
      <c r="H17" s="160">
        <v>39655.5929575419</v>
      </c>
      <c r="I17" s="160">
        <v>68811.753240294143</v>
      </c>
      <c r="J17" s="182">
        <v>2389827.8212779076</v>
      </c>
      <c r="L17" s="151" t="s">
        <v>581</v>
      </c>
      <c r="M17" s="177">
        <v>12518137.109440256</v>
      </c>
    </row>
    <row r="18" spans="1:13" customFormat="1" ht="15.75" x14ac:dyDescent="0.25">
      <c r="A18" s="190"/>
      <c r="B18" s="1"/>
      <c r="C18" s="19"/>
      <c r="D18" s="1"/>
      <c r="E18" s="127" t="s">
        <v>258</v>
      </c>
      <c r="F18" s="168">
        <v>1743893.9745092324</v>
      </c>
      <c r="G18" s="128">
        <v>102348.06329029975</v>
      </c>
      <c r="H18" s="161">
        <v>32447.194271658122</v>
      </c>
      <c r="I18" s="161">
        <v>85961.860282485868</v>
      </c>
      <c r="J18" s="183">
        <v>1964651.0923536762</v>
      </c>
      <c r="L18" s="151" t="s">
        <v>582</v>
      </c>
      <c r="M18" s="177">
        <v>11610289.347234949</v>
      </c>
    </row>
    <row r="19" spans="1:13" customFormat="1" ht="16.5" thickBot="1" x14ac:dyDescent="0.3">
      <c r="A19" s="190"/>
      <c r="B19" s="1"/>
      <c r="C19" s="19"/>
      <c r="D19" s="1"/>
      <c r="E19" s="125" t="s">
        <v>249</v>
      </c>
      <c r="F19" s="167">
        <v>6409893.243827791</v>
      </c>
      <c r="G19" s="126">
        <v>142856.99275372043</v>
      </c>
      <c r="H19" s="160">
        <v>40124.3763381791</v>
      </c>
      <c r="I19" s="160">
        <v>50986.681270891895</v>
      </c>
      <c r="J19" s="182">
        <v>6643861.2941905819</v>
      </c>
      <c r="L19" s="151" t="s">
        <v>38</v>
      </c>
      <c r="M19" s="178">
        <v>17870773.829520114</v>
      </c>
    </row>
    <row r="20" spans="1:13" customFormat="1" ht="16.5" thickBot="1" x14ac:dyDescent="0.3">
      <c r="A20" s="190"/>
      <c r="B20" s="1"/>
      <c r="C20" s="19"/>
      <c r="D20" s="1"/>
      <c r="E20" s="127" t="s">
        <v>216</v>
      </c>
      <c r="F20" s="168">
        <v>30436755.653539799</v>
      </c>
      <c r="G20" s="128">
        <v>2126486.7872470971</v>
      </c>
      <c r="H20" s="161">
        <v>566311.56373329507</v>
      </c>
      <c r="I20" s="161">
        <v>719621.08411926683</v>
      </c>
      <c r="J20" s="183">
        <v>33849175.088639461</v>
      </c>
      <c r="L20" s="153" t="s">
        <v>583</v>
      </c>
      <c r="M20" s="179">
        <f>SUM(M7:M19)</f>
        <v>238043818.58408868</v>
      </c>
    </row>
    <row r="21" spans="1:13" customFormat="1" ht="15.75" x14ac:dyDescent="0.25">
      <c r="A21" s="190"/>
      <c r="B21" s="1"/>
      <c r="C21" s="19"/>
      <c r="D21" s="1"/>
      <c r="E21" s="125" t="s">
        <v>210</v>
      </c>
      <c r="F21" s="167">
        <v>3591758.4753365992</v>
      </c>
      <c r="G21" s="126">
        <v>289355.61618269928</v>
      </c>
      <c r="H21" s="160">
        <v>66828.882219699546</v>
      </c>
      <c r="I21" s="160">
        <v>84920.520351704661</v>
      </c>
      <c r="J21" s="182">
        <v>4032863.4940907029</v>
      </c>
      <c r="L21" s="151" t="s">
        <v>262</v>
      </c>
      <c r="M21" s="176">
        <v>2389827.8212779076</v>
      </c>
    </row>
    <row r="22" spans="1:13" customFormat="1" ht="15.75" x14ac:dyDescent="0.25">
      <c r="A22" s="190"/>
      <c r="B22" s="1"/>
      <c r="C22" s="19"/>
      <c r="D22" s="1"/>
      <c r="E22" s="127" t="s">
        <v>191</v>
      </c>
      <c r="F22" s="168">
        <v>11530018.130238593</v>
      </c>
      <c r="G22" s="128">
        <v>596702.96383158467</v>
      </c>
      <c r="H22" s="161">
        <v>163647.29427168641</v>
      </c>
      <c r="I22" s="161">
        <v>207949.21180955565</v>
      </c>
      <c r="J22" s="183">
        <v>12498317.60015142</v>
      </c>
      <c r="L22" s="151" t="s">
        <v>258</v>
      </c>
      <c r="M22" s="177">
        <v>1964651.0923536762</v>
      </c>
    </row>
    <row r="23" spans="1:13" customFormat="1" ht="15.75" x14ac:dyDescent="0.25">
      <c r="A23" s="190"/>
      <c r="B23" s="1"/>
      <c r="C23" s="19"/>
      <c r="D23" s="1"/>
      <c r="E23" s="125" t="s">
        <v>178</v>
      </c>
      <c r="F23" s="167">
        <v>4824965.5353268944</v>
      </c>
      <c r="G23" s="126">
        <v>126455.2433344314</v>
      </c>
      <c r="H23" s="160">
        <v>32425.514914518812</v>
      </c>
      <c r="I23" s="160">
        <v>41203.615977901325</v>
      </c>
      <c r="J23" s="182">
        <v>5025049.9095537458</v>
      </c>
      <c r="L23" s="151" t="s">
        <v>155</v>
      </c>
      <c r="M23" s="177">
        <v>2659268.9112826791</v>
      </c>
    </row>
    <row r="24" spans="1:13" customFormat="1" ht="16.5" thickBot="1" x14ac:dyDescent="0.3">
      <c r="A24" s="190"/>
      <c r="B24" s="1"/>
      <c r="C24" s="19"/>
      <c r="D24" s="1"/>
      <c r="E24" s="127" t="s">
        <v>161</v>
      </c>
      <c r="F24" s="168">
        <v>8608781.7691619769</v>
      </c>
      <c r="G24" s="128">
        <v>593677.61634891643</v>
      </c>
      <c r="H24" s="161">
        <v>165960.45348044354</v>
      </c>
      <c r="I24" s="161">
        <v>210888.57989621934</v>
      </c>
      <c r="J24" s="183">
        <v>9579308.4188875556</v>
      </c>
      <c r="L24" s="151" t="s">
        <v>584</v>
      </c>
      <c r="M24" s="178">
        <v>4032863.4940907029</v>
      </c>
    </row>
    <row r="25" spans="1:13" customFormat="1" ht="16.5" thickBot="1" x14ac:dyDescent="0.3">
      <c r="A25" s="190"/>
      <c r="B25" s="1"/>
      <c r="C25" s="19"/>
      <c r="D25" s="1"/>
      <c r="E25" s="125" t="s">
        <v>155</v>
      </c>
      <c r="F25" s="167">
        <v>2373464.5655876789</v>
      </c>
      <c r="G25" s="126">
        <v>165029.78369787097</v>
      </c>
      <c r="H25" s="160">
        <v>44161.094070064035</v>
      </c>
      <c r="I25" s="160">
        <v>76613.46792706511</v>
      </c>
      <c r="J25" s="182">
        <v>2659268.9112826791</v>
      </c>
      <c r="L25" s="153" t="s">
        <v>585</v>
      </c>
      <c r="M25" s="179">
        <f>SUM(M21:M24)</f>
        <v>11046611.319004966</v>
      </c>
    </row>
    <row r="26" spans="1:13" customFormat="1" ht="16.5" thickBot="1" x14ac:dyDescent="0.3">
      <c r="A26" s="190"/>
      <c r="B26" s="1"/>
      <c r="C26" s="19"/>
      <c r="D26" s="1"/>
      <c r="E26" s="127" t="s">
        <v>124</v>
      </c>
      <c r="F26" s="168">
        <v>12847004.333924564</v>
      </c>
      <c r="G26" s="128">
        <v>355331.34282070136</v>
      </c>
      <c r="H26" s="161">
        <v>89440.223801386557</v>
      </c>
      <c r="I26" s="161">
        <v>113653.11065082805</v>
      </c>
      <c r="J26" s="183">
        <v>13405429.011197481</v>
      </c>
      <c r="L26" s="154" t="s">
        <v>586</v>
      </c>
      <c r="M26" s="180">
        <f>+M25+M20</f>
        <v>249090429.90309364</v>
      </c>
    </row>
    <row r="27" spans="1:13" customFormat="1" ht="15.75" x14ac:dyDescent="0.25">
      <c r="A27" s="190"/>
      <c r="B27" s="1"/>
      <c r="C27" s="19"/>
      <c r="D27" s="1"/>
      <c r="E27" s="125" t="s">
        <v>115</v>
      </c>
      <c r="F27" s="167">
        <v>11333438.092238838</v>
      </c>
      <c r="G27" s="126">
        <v>774039.63496395457</v>
      </c>
      <c r="H27" s="160">
        <v>210871.9182014337</v>
      </c>
      <c r="I27" s="160">
        <v>267958.29028469365</v>
      </c>
      <c r="J27" s="182">
        <v>12586307.935688917</v>
      </c>
    </row>
    <row r="28" spans="1:13" customFormat="1" ht="15.75" x14ac:dyDescent="0.25">
      <c r="A28" s="190"/>
      <c r="B28" s="1"/>
      <c r="C28" s="19"/>
      <c r="D28" s="1"/>
      <c r="E28" s="127" t="s">
        <v>93</v>
      </c>
      <c r="F28" s="168">
        <v>10404379.487264607</v>
      </c>
      <c r="G28" s="128">
        <v>766331.75855843886</v>
      </c>
      <c r="H28" s="161">
        <v>193585.69238381309</v>
      </c>
      <c r="I28" s="161">
        <v>245992.40902809086</v>
      </c>
      <c r="J28" s="183">
        <v>11610289.347234948</v>
      </c>
    </row>
    <row r="29" spans="1:13" customFormat="1" ht="15.75" x14ac:dyDescent="0.25">
      <c r="A29" s="190"/>
      <c r="B29" s="1"/>
      <c r="C29" s="19"/>
      <c r="D29" s="1"/>
      <c r="E29" s="125" t="s">
        <v>80</v>
      </c>
      <c r="F29" s="167">
        <v>6958944.1976368278</v>
      </c>
      <c r="G29" s="126">
        <v>467212.78206274076</v>
      </c>
      <c r="H29" s="160">
        <v>129479.32477941755</v>
      </c>
      <c r="I29" s="160">
        <v>164531.43116935619</v>
      </c>
      <c r="J29" s="182">
        <v>7720167.7356483424</v>
      </c>
    </row>
    <row r="30" spans="1:13" customFormat="1" ht="15.75" x14ac:dyDescent="0.25">
      <c r="A30" s="190"/>
      <c r="B30" s="1"/>
      <c r="C30" s="19"/>
      <c r="D30" s="1"/>
      <c r="E30" s="127" t="s">
        <v>63</v>
      </c>
      <c r="F30" s="168">
        <v>7493034.5944706369</v>
      </c>
      <c r="G30" s="128">
        <v>388055.36669259256</v>
      </c>
      <c r="H30" s="161">
        <v>107615.43983807965</v>
      </c>
      <c r="I30" s="161">
        <v>136748.64587565116</v>
      </c>
      <c r="J30" s="183">
        <v>8125454.0468769604</v>
      </c>
    </row>
    <row r="31" spans="1:13" customFormat="1" ht="15.75" x14ac:dyDescent="0.25">
      <c r="A31" s="190"/>
      <c r="B31" s="1"/>
      <c r="C31" s="19"/>
      <c r="D31" s="1"/>
      <c r="E31" s="129" t="s">
        <v>38</v>
      </c>
      <c r="F31" s="167">
        <v>16303727.152461069</v>
      </c>
      <c r="G31" s="126">
        <v>994620.47781980014</v>
      </c>
      <c r="H31" s="160">
        <v>252090.63363810955</v>
      </c>
      <c r="I31" s="160">
        <v>320335.56560113677</v>
      </c>
      <c r="J31" s="182">
        <v>17870773.829520114</v>
      </c>
    </row>
    <row r="32" spans="1:13" customFormat="1" ht="16.5" thickBot="1" x14ac:dyDescent="0.3">
      <c r="A32" s="190"/>
      <c r="B32" s="1"/>
      <c r="C32" s="19"/>
      <c r="D32" s="1"/>
      <c r="E32" s="130" t="s">
        <v>3</v>
      </c>
      <c r="F32" s="169">
        <v>20065451.463605817</v>
      </c>
      <c r="G32" s="131">
        <v>1234847.2923436349</v>
      </c>
      <c r="H32" s="162">
        <v>315111.43768444157</v>
      </c>
      <c r="I32" s="162">
        <v>400417.10063270363</v>
      </c>
      <c r="J32" s="184">
        <v>22015827.294266604</v>
      </c>
    </row>
    <row r="33" spans="1:11" customFormat="1" ht="85.5" customHeight="1" x14ac:dyDescent="0.25">
      <c r="A33" s="190"/>
      <c r="B33" s="15"/>
      <c r="C33" s="19"/>
      <c r="D33" s="1"/>
      <c r="E33" s="186" t="s">
        <v>511</v>
      </c>
      <c r="F33" s="187">
        <f>SUM(F7:F32)</f>
        <v>227732065.23554367</v>
      </c>
      <c r="G33" s="187">
        <f t="shared" ref="G33:H33" si="0">SUM(G7:G32)</f>
        <v>13249999.999999994</v>
      </c>
      <c r="H33" s="187">
        <f t="shared" si="0"/>
        <v>3499999.9999999991</v>
      </c>
      <c r="I33" s="187">
        <f t="shared" ref="I33" si="1">SUM(I7:I32)</f>
        <v>4608364.6675499789</v>
      </c>
      <c r="J33" s="188">
        <f t="shared" ref="J33" si="2">SUM(J7:J32)</f>
        <v>249090429.90309361</v>
      </c>
    </row>
    <row r="34" spans="1:11" customFormat="1" x14ac:dyDescent="0.25"/>
    <row r="35" spans="1:11" x14ac:dyDescent="0.25">
      <c r="A35"/>
      <c r="B35"/>
      <c r="C35"/>
      <c r="D35"/>
      <c r="H35"/>
      <c r="I35"/>
      <c r="J35"/>
      <c r="K35"/>
    </row>
    <row r="36" spans="1:11" x14ac:dyDescent="0.25">
      <c r="A36"/>
      <c r="B36"/>
      <c r="C36"/>
      <c r="D36"/>
      <c r="H36"/>
      <c r="I36"/>
      <c r="J36"/>
      <c r="K36"/>
    </row>
  </sheetData>
  <sheetProtection sheet="1" objects="1" scenarios="1"/>
  <mergeCells count="1">
    <mergeCell ref="A6:A33"/>
  </mergeCells>
  <conditionalFormatting sqref="M6 L6:L26">
    <cfRule type="cellIs" dxfId="0" priority="1" operator="equal">
      <formula>0</formula>
    </cfRule>
  </conditionalFormatting>
  <pageMargins left="0.17" right="0.17" top="0.74803149606299213" bottom="0.74803149606299213" header="0.31496062992125984" footer="0.31496062992125984"/>
  <pageSetup paperSize="9" scale="41"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L74"/>
  <sheetViews>
    <sheetView zoomScale="80" zoomScaleNormal="80" workbookViewId="0">
      <selection activeCell="J42" sqref="J42"/>
    </sheetView>
  </sheetViews>
  <sheetFormatPr baseColWidth="10" defaultRowHeight="15" x14ac:dyDescent="0.25"/>
  <cols>
    <col min="1" max="1" width="1.42578125" style="1" customWidth="1"/>
    <col min="2" max="5" width="30.42578125" style="1" customWidth="1"/>
    <col min="6" max="8" width="1.42578125" style="1" customWidth="1"/>
    <col min="9" max="12" width="30.28515625" style="1" customWidth="1"/>
    <col min="13" max="16384" width="11.42578125" style="1"/>
  </cols>
  <sheetData>
    <row r="1" spans="1:12" s="31" customFormat="1" ht="18.75" x14ac:dyDescent="0.3">
      <c r="A1" s="30" t="s">
        <v>536</v>
      </c>
      <c r="E1" s="32"/>
      <c r="H1" s="30"/>
    </row>
    <row r="2" spans="1:12" s="34" customFormat="1" x14ac:dyDescent="0.25">
      <c r="A2" s="33" t="s">
        <v>468</v>
      </c>
      <c r="H2" s="33"/>
    </row>
    <row r="4" spans="1:12" ht="18.75" x14ac:dyDescent="0.3">
      <c r="B4" s="39" t="s">
        <v>512</v>
      </c>
      <c r="G4" s="19"/>
      <c r="I4" s="39" t="s">
        <v>537</v>
      </c>
    </row>
    <row r="5" spans="1:12" x14ac:dyDescent="0.25">
      <c r="G5" s="19"/>
    </row>
    <row r="6" spans="1:12" ht="15.75" x14ac:dyDescent="0.25">
      <c r="B6" s="36" t="s">
        <v>461</v>
      </c>
      <c r="C6" s="114" t="s">
        <v>535</v>
      </c>
      <c r="D6" s="114"/>
      <c r="E6" s="114"/>
      <c r="G6" s="19"/>
      <c r="I6" s="35" t="s">
        <v>513</v>
      </c>
    </row>
    <row r="7" spans="1:12" ht="15" customHeight="1" x14ac:dyDescent="0.25">
      <c r="C7" s="115" t="s">
        <v>534</v>
      </c>
      <c r="D7" s="115"/>
      <c r="E7" s="115"/>
      <c r="G7" s="19"/>
    </row>
    <row r="8" spans="1:12" x14ac:dyDescent="0.25">
      <c r="G8" s="19"/>
      <c r="I8" s="22" t="s">
        <v>531</v>
      </c>
      <c r="J8" s="21" t="s">
        <v>475</v>
      </c>
      <c r="K8" s="21" t="s">
        <v>476</v>
      </c>
      <c r="L8" s="21" t="s">
        <v>477</v>
      </c>
    </row>
    <row r="9" spans="1:12" x14ac:dyDescent="0.25">
      <c r="B9" s="36" t="s">
        <v>544</v>
      </c>
      <c r="C9" s="1" t="s">
        <v>550</v>
      </c>
      <c r="G9" s="19"/>
      <c r="I9" s="26" t="s">
        <v>525</v>
      </c>
      <c r="J9" s="94">
        <v>52560</v>
      </c>
      <c r="K9" s="95">
        <v>0.37499902768431781</v>
      </c>
      <c r="L9" s="95">
        <v>1.1996662510414284E-5</v>
      </c>
    </row>
    <row r="10" spans="1:12" x14ac:dyDescent="0.25">
      <c r="C10" s="1" t="s">
        <v>551</v>
      </c>
      <c r="G10" s="19"/>
      <c r="I10" s="26" t="s">
        <v>478</v>
      </c>
      <c r="J10" s="94">
        <v>35000</v>
      </c>
      <c r="K10" s="95">
        <v>0.97244255205970198</v>
      </c>
      <c r="L10" s="95">
        <v>1.8397372110226855E-5</v>
      </c>
    </row>
    <row r="11" spans="1:12" ht="15" customHeight="1" x14ac:dyDescent="0.25">
      <c r="C11" s="192" t="s">
        <v>552</v>
      </c>
      <c r="D11" s="192"/>
      <c r="E11" s="192"/>
      <c r="G11" s="19"/>
      <c r="I11" s="25"/>
      <c r="J11" s="25"/>
      <c r="K11" s="25"/>
      <c r="L11" s="25"/>
    </row>
    <row r="12" spans="1:12" x14ac:dyDescent="0.25">
      <c r="C12" s="192"/>
      <c r="D12" s="192"/>
      <c r="E12" s="192"/>
      <c r="G12" s="19"/>
      <c r="I12" s="26" t="s">
        <v>527</v>
      </c>
      <c r="J12" s="106" t="s">
        <v>528</v>
      </c>
      <c r="K12" s="25"/>
      <c r="L12" s="25"/>
    </row>
    <row r="13" spans="1:12" x14ac:dyDescent="0.25">
      <c r="C13" s="1" t="s">
        <v>553</v>
      </c>
      <c r="G13" s="19"/>
    </row>
    <row r="14" spans="1:12" x14ac:dyDescent="0.25">
      <c r="C14" s="192" t="s">
        <v>554</v>
      </c>
      <c r="D14" s="193"/>
      <c r="E14" s="193"/>
      <c r="G14" s="19"/>
      <c r="I14" s="22" t="s">
        <v>451</v>
      </c>
      <c r="J14" s="21" t="s">
        <v>447</v>
      </c>
      <c r="K14" s="21" t="s">
        <v>449</v>
      </c>
      <c r="L14" s="21" t="s">
        <v>448</v>
      </c>
    </row>
    <row r="15" spans="1:12" x14ac:dyDescent="0.25">
      <c r="C15" s="193"/>
      <c r="D15" s="193"/>
      <c r="E15" s="193"/>
      <c r="G15" s="19"/>
      <c r="I15" s="26" t="s">
        <v>526</v>
      </c>
      <c r="J15" s="94">
        <v>120000</v>
      </c>
      <c r="K15" s="94">
        <v>250000</v>
      </c>
      <c r="L15" s="94">
        <v>300000</v>
      </c>
    </row>
    <row r="16" spans="1:12" x14ac:dyDescent="0.25">
      <c r="C16" s="124" t="s">
        <v>555</v>
      </c>
      <c r="G16" s="19"/>
      <c r="I16" s="26" t="s">
        <v>453</v>
      </c>
      <c r="J16" s="94">
        <v>3</v>
      </c>
      <c r="K16" s="94">
        <v>4</v>
      </c>
      <c r="L16" s="94">
        <v>6</v>
      </c>
    </row>
    <row r="17" spans="2:12" x14ac:dyDescent="0.25">
      <c r="C17" s="1" t="s">
        <v>556</v>
      </c>
      <c r="G17" s="19"/>
    </row>
    <row r="18" spans="2:12" x14ac:dyDescent="0.25">
      <c r="C18" s="1" t="s">
        <v>557</v>
      </c>
      <c r="G18" s="19"/>
      <c r="J18" s="21" t="s">
        <v>499</v>
      </c>
      <c r="K18" s="21" t="s">
        <v>450</v>
      </c>
      <c r="L18" s="21" t="s">
        <v>452</v>
      </c>
    </row>
    <row r="19" spans="2:12" x14ac:dyDescent="0.25">
      <c r="C19" s="192" t="s">
        <v>558</v>
      </c>
      <c r="D19" s="192"/>
      <c r="E19" s="192"/>
      <c r="G19" s="19"/>
      <c r="I19" s="22" t="s">
        <v>427</v>
      </c>
      <c r="J19" s="94">
        <v>50000</v>
      </c>
      <c r="K19" s="94">
        <v>0.5</v>
      </c>
      <c r="L19" s="28" t="s">
        <v>467</v>
      </c>
    </row>
    <row r="20" spans="2:12" x14ac:dyDescent="0.25">
      <c r="C20" s="192"/>
      <c r="D20" s="192"/>
      <c r="E20" s="192"/>
      <c r="G20" s="19"/>
      <c r="I20" s="22" t="s">
        <v>425</v>
      </c>
      <c r="J20" s="94">
        <v>100000</v>
      </c>
      <c r="K20" s="94">
        <v>0.25</v>
      </c>
      <c r="L20" s="28" t="s">
        <v>467</v>
      </c>
    </row>
    <row r="21" spans="2:12" x14ac:dyDescent="0.25">
      <c r="G21" s="19"/>
      <c r="I21" s="22" t="s">
        <v>426</v>
      </c>
      <c r="J21" s="28" t="s">
        <v>467</v>
      </c>
      <c r="K21" s="28" t="s">
        <v>467</v>
      </c>
      <c r="L21" s="94">
        <v>1</v>
      </c>
    </row>
    <row r="22" spans="2:12" ht="15.75" x14ac:dyDescent="0.25">
      <c r="B22" s="35" t="s">
        <v>538</v>
      </c>
      <c r="G22" s="19"/>
    </row>
    <row r="23" spans="2:12" ht="15.75" x14ac:dyDescent="0.25">
      <c r="G23" s="19"/>
      <c r="I23" s="35" t="s">
        <v>514</v>
      </c>
    </row>
    <row r="24" spans="2:12" x14ac:dyDescent="0.25">
      <c r="B24" s="192" t="s">
        <v>540</v>
      </c>
      <c r="C24" s="192"/>
      <c r="D24" s="192"/>
      <c r="E24" s="192"/>
      <c r="G24" s="19"/>
      <c r="J24" s="21" t="s">
        <v>542</v>
      </c>
      <c r="K24" s="21" t="s">
        <v>539</v>
      </c>
    </row>
    <row r="25" spans="2:12" x14ac:dyDescent="0.25">
      <c r="B25" s="192"/>
      <c r="C25" s="192"/>
      <c r="D25" s="192"/>
      <c r="E25" s="192"/>
      <c r="G25" s="19"/>
      <c r="I25" s="27" t="s">
        <v>454</v>
      </c>
      <c r="J25" s="121">
        <v>700000</v>
      </c>
      <c r="K25" s="116">
        <v>700000</v>
      </c>
    </row>
    <row r="26" spans="2:12" x14ac:dyDescent="0.25">
      <c r="B26" s="192"/>
      <c r="C26" s="192"/>
      <c r="D26" s="192"/>
      <c r="E26" s="192"/>
      <c r="G26" s="19"/>
      <c r="I26" s="27" t="s">
        <v>496</v>
      </c>
      <c r="J26" s="121">
        <v>50000</v>
      </c>
      <c r="K26" s="116">
        <v>50000</v>
      </c>
    </row>
    <row r="27" spans="2:12" x14ac:dyDescent="0.25">
      <c r="G27" s="19"/>
      <c r="I27" s="27" t="s">
        <v>530</v>
      </c>
      <c r="J27" s="121">
        <f>38756*6</f>
        <v>232536</v>
      </c>
      <c r="K27" s="116">
        <v>232536</v>
      </c>
    </row>
    <row r="28" spans="2:12" ht="15.75" x14ac:dyDescent="0.25">
      <c r="B28" s="35" t="s">
        <v>545</v>
      </c>
      <c r="G28" s="19"/>
      <c r="I28" s="27" t="s">
        <v>455</v>
      </c>
      <c r="J28" s="122">
        <v>54412.833333333328</v>
      </c>
      <c r="K28" s="116">
        <v>54412.833333333328</v>
      </c>
    </row>
    <row r="29" spans="2:12" x14ac:dyDescent="0.25">
      <c r="G29" s="19"/>
      <c r="I29" s="26" t="s">
        <v>456</v>
      </c>
      <c r="J29" s="122">
        <v>34366</v>
      </c>
      <c r="K29" s="116">
        <v>34366</v>
      </c>
    </row>
    <row r="30" spans="2:12" x14ac:dyDescent="0.25">
      <c r="B30" s="1" t="s">
        <v>546</v>
      </c>
      <c r="G30" s="19"/>
      <c r="I30" s="26" t="s">
        <v>457</v>
      </c>
      <c r="J30" s="122">
        <v>42625</v>
      </c>
      <c r="K30" s="116">
        <v>42625</v>
      </c>
    </row>
    <row r="31" spans="2:12" x14ac:dyDescent="0.25">
      <c r="G31" s="19"/>
      <c r="I31" s="26" t="s">
        <v>458</v>
      </c>
      <c r="J31" s="122">
        <v>58893</v>
      </c>
      <c r="K31" s="116">
        <v>58893</v>
      </c>
    </row>
    <row r="32" spans="2:12" x14ac:dyDescent="0.25">
      <c r="B32" s="192" t="s">
        <v>547</v>
      </c>
      <c r="C32" s="192"/>
      <c r="D32" s="192"/>
      <c r="E32" s="192"/>
      <c r="F32" s="15"/>
      <c r="G32" s="19"/>
      <c r="I32" s="40"/>
    </row>
    <row r="33" spans="2:12" x14ac:dyDescent="0.25">
      <c r="B33" s="192"/>
      <c r="C33" s="192"/>
      <c r="D33" s="192"/>
      <c r="E33" s="192"/>
      <c r="G33" s="19"/>
      <c r="I33" s="29" t="s">
        <v>471</v>
      </c>
      <c r="J33" s="29" t="s">
        <v>472</v>
      </c>
      <c r="K33" s="29" t="s">
        <v>473</v>
      </c>
      <c r="L33" s="29" t="s">
        <v>515</v>
      </c>
    </row>
    <row r="34" spans="2:12" x14ac:dyDescent="0.25">
      <c r="G34" s="19"/>
      <c r="I34" s="29" t="s">
        <v>543</v>
      </c>
      <c r="J34" s="123">
        <v>0.125</v>
      </c>
      <c r="K34" s="123">
        <v>0.15</v>
      </c>
      <c r="L34" s="123">
        <v>0.17499999999999999</v>
      </c>
    </row>
    <row r="35" spans="2:12" x14ac:dyDescent="0.25">
      <c r="B35" s="192" t="s">
        <v>549</v>
      </c>
      <c r="C35" s="192"/>
      <c r="D35" s="192"/>
      <c r="E35" s="192"/>
      <c r="G35" s="19"/>
      <c r="I35" s="29" t="s">
        <v>541</v>
      </c>
      <c r="J35" s="117">
        <v>0.125</v>
      </c>
      <c r="K35" s="117">
        <v>0.15</v>
      </c>
      <c r="L35" s="117">
        <v>0.17499999999999999</v>
      </c>
    </row>
    <row r="36" spans="2:12" x14ac:dyDescent="0.25">
      <c r="B36" s="192"/>
      <c r="C36" s="192"/>
      <c r="D36" s="192"/>
      <c r="E36" s="192"/>
      <c r="G36" s="19"/>
    </row>
    <row r="37" spans="2:12" x14ac:dyDescent="0.25">
      <c r="G37" s="19"/>
    </row>
    <row r="38" spans="2:12" ht="15" customHeight="1" x14ac:dyDescent="0.25">
      <c r="B38" s="191" t="s">
        <v>559</v>
      </c>
      <c r="C38" s="191"/>
      <c r="D38" s="191"/>
      <c r="E38" s="191"/>
      <c r="G38" s="19"/>
    </row>
    <row r="39" spans="2:12" x14ac:dyDescent="0.25">
      <c r="B39" s="191"/>
      <c r="C39" s="191"/>
      <c r="D39" s="191"/>
      <c r="E39" s="191"/>
      <c r="G39" s="19"/>
    </row>
    <row r="40" spans="2:12" x14ac:dyDescent="0.25">
      <c r="B40" s="191"/>
      <c r="C40" s="191"/>
      <c r="D40" s="191"/>
      <c r="E40" s="191"/>
      <c r="G40" s="19"/>
    </row>
    <row r="41" spans="2:12" x14ac:dyDescent="0.25">
      <c r="B41" s="191"/>
      <c r="C41" s="191"/>
      <c r="D41" s="191"/>
      <c r="E41" s="191"/>
      <c r="G41" s="19"/>
    </row>
    <row r="42" spans="2:12" x14ac:dyDescent="0.25">
      <c r="B42" s="191"/>
      <c r="C42" s="191"/>
      <c r="D42" s="191"/>
      <c r="E42" s="191"/>
      <c r="G42" s="19"/>
    </row>
    <row r="43" spans="2:12" x14ac:dyDescent="0.25">
      <c r="B43" s="191"/>
      <c r="C43" s="191"/>
      <c r="D43" s="191"/>
      <c r="E43" s="191"/>
      <c r="G43" s="19"/>
    </row>
    <row r="44" spans="2:12" x14ac:dyDescent="0.25">
      <c r="B44" s="191"/>
      <c r="C44" s="191"/>
      <c r="D44" s="191"/>
      <c r="E44" s="191"/>
      <c r="G44" s="19"/>
    </row>
    <row r="45" spans="2:12" x14ac:dyDescent="0.25">
      <c r="B45" s="191"/>
      <c r="C45" s="191"/>
      <c r="D45" s="191"/>
      <c r="E45" s="191"/>
      <c r="G45" s="19"/>
    </row>
    <row r="46" spans="2:12" x14ac:dyDescent="0.25">
      <c r="B46" s="191"/>
      <c r="C46" s="191"/>
      <c r="D46" s="191"/>
      <c r="E46" s="191"/>
      <c r="G46" s="19"/>
    </row>
    <row r="47" spans="2:12" x14ac:dyDescent="0.25">
      <c r="B47" s="191"/>
      <c r="C47" s="191"/>
      <c r="D47" s="191"/>
      <c r="E47" s="191"/>
      <c r="G47" s="19"/>
    </row>
    <row r="48" spans="2:12" x14ac:dyDescent="0.25">
      <c r="B48" s="191"/>
      <c r="C48" s="191"/>
      <c r="D48" s="191"/>
      <c r="E48" s="191"/>
      <c r="G48" s="19"/>
    </row>
    <row r="49" spans="2:7" x14ac:dyDescent="0.25">
      <c r="B49" s="191"/>
      <c r="C49" s="191"/>
      <c r="D49" s="191"/>
      <c r="E49" s="191"/>
      <c r="G49" s="19"/>
    </row>
    <row r="51" spans="2:7" x14ac:dyDescent="0.25">
      <c r="D51" s="20"/>
      <c r="E51" s="20"/>
    </row>
    <row r="52" spans="2:7" x14ac:dyDescent="0.25">
      <c r="E52" s="20"/>
    </row>
    <row r="53" spans="2:7" x14ac:dyDescent="0.25">
      <c r="D53" s="20"/>
    </row>
    <row r="74" spans="2:2" ht="15.75" x14ac:dyDescent="0.25">
      <c r="B74" s="2"/>
    </row>
  </sheetData>
  <sheetProtection sheet="1" objects="1" scenarios="1"/>
  <mergeCells count="7">
    <mergeCell ref="B38:E49"/>
    <mergeCell ref="B24:E26"/>
    <mergeCell ref="B32:E33"/>
    <mergeCell ref="B35:E36"/>
    <mergeCell ref="C11:E12"/>
    <mergeCell ref="C14:E15"/>
    <mergeCell ref="C19:E20"/>
  </mergeCells>
  <dataValidations disablePrompts="1" count="1">
    <dataValidation type="decimal" allowBlank="1" showInputMessage="1" showErrorMessage="1" sqref="J10">
      <formula1>0</formula1>
      <formula2>10</formula2>
    </dataValidation>
  </dataValidations>
  <pageMargins left="0.7" right="0.7" top="0.75" bottom="0.75" header="0.3" footer="0.3"/>
  <pageSetup paperSize="9" scale="68" orientation="portrait" r:id="rId1"/>
  <colBreaks count="1" manualBreakCount="1">
    <brk id="8" max="48"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X49"/>
  <sheetViews>
    <sheetView zoomScale="80" zoomScaleNormal="80" zoomScalePageLayoutView="80" workbookViewId="0">
      <selection activeCell="K46" sqref="K46"/>
    </sheetView>
  </sheetViews>
  <sheetFormatPr baseColWidth="10" defaultRowHeight="15" x14ac:dyDescent="0.25"/>
  <cols>
    <col min="1" max="1" width="1.42578125" style="133" customWidth="1"/>
    <col min="2" max="5" width="25.28515625" style="133" customWidth="1"/>
    <col min="6" max="8" width="1.7109375" style="133" customWidth="1"/>
    <col min="9" max="13" width="18.7109375" style="133" customWidth="1"/>
    <col min="14" max="16" width="1.7109375" style="133" customWidth="1"/>
    <col min="17" max="24" width="19.7109375" style="133" customWidth="1"/>
    <col min="25" max="26" width="20.7109375" style="133" customWidth="1"/>
    <col min="27" max="16384" width="11.42578125" style="133"/>
  </cols>
  <sheetData>
    <row r="1" spans="1:21" s="132" customFormat="1" ht="18.75" x14ac:dyDescent="0.3">
      <c r="A1" s="156" t="s">
        <v>497</v>
      </c>
      <c r="C1" s="132" t="s">
        <v>597</v>
      </c>
      <c r="E1" s="157"/>
      <c r="P1" s="156"/>
    </row>
    <row r="3" spans="1:21" ht="15.75" x14ac:dyDescent="0.25">
      <c r="B3" s="134" t="s">
        <v>508</v>
      </c>
      <c r="C3" s="118" t="s">
        <v>3</v>
      </c>
      <c r="D3" s="135" t="s">
        <v>507</v>
      </c>
      <c r="G3" s="136"/>
      <c r="I3" s="134" t="s">
        <v>563</v>
      </c>
      <c r="O3" s="136"/>
    </row>
    <row r="4" spans="1:21" x14ac:dyDescent="0.25">
      <c r="G4" s="136"/>
      <c r="I4" s="138" t="s">
        <v>523</v>
      </c>
      <c r="J4" s="138" t="s">
        <v>560</v>
      </c>
      <c r="K4" s="138" t="s">
        <v>565</v>
      </c>
      <c r="L4" s="138" t="s">
        <v>605</v>
      </c>
      <c r="O4" s="136"/>
    </row>
    <row r="5" spans="1:21" ht="15.75" x14ac:dyDescent="0.25">
      <c r="B5" s="134" t="s">
        <v>509</v>
      </c>
      <c r="D5" s="118" t="s">
        <v>459</v>
      </c>
      <c r="E5" s="135" t="s">
        <v>507</v>
      </c>
      <c r="G5" s="136"/>
      <c r="I5" s="139" t="str">
        <f t="shared" ref="I5:I14" si="0">R8</f>
        <v>SAMU01</v>
      </c>
      <c r="J5" s="140">
        <f>IF(B10="-","-",VLOOKUP(I5,'Onglet technique'!$B$117:$S$219,18,FALSE))</f>
        <v>0</v>
      </c>
      <c r="K5" s="139">
        <f t="shared" ref="K5:K14" si="1">IF(I5="-","-",IF(J5=0,E36*1.72771613288286%,0))</f>
        <v>31194.676058580757</v>
      </c>
      <c r="L5" s="139">
        <f t="shared" ref="L5:L14" si="2">IF(I5="-","-",IF(J5=0,S34*(44400.706010225/38756-1),0))</f>
        <v>104301.37711735863</v>
      </c>
      <c r="O5" s="136"/>
    </row>
    <row r="6" spans="1:21" ht="15" customHeight="1" x14ac:dyDescent="0.25">
      <c r="C6" s="135" t="s">
        <v>502</v>
      </c>
      <c r="G6" s="136"/>
      <c r="I6" s="139" t="str">
        <f t="shared" si="0"/>
        <v>SAMU07</v>
      </c>
      <c r="J6" s="140">
        <f>IF(B11="-","-",VLOOKUP(I6,'Onglet technique'!$B$117:$S$219,18,FALSE))</f>
        <v>0</v>
      </c>
      <c r="K6" s="139">
        <f t="shared" si="1"/>
        <v>28593.352270337142</v>
      </c>
      <c r="L6" s="139">
        <f t="shared" si="2"/>
        <v>85232.436600140078</v>
      </c>
      <c r="O6" s="136"/>
      <c r="Q6" s="134" t="s">
        <v>572</v>
      </c>
    </row>
    <row r="7" spans="1:21" ht="15.75" x14ac:dyDescent="0.25">
      <c r="C7" s="135" t="s">
        <v>503</v>
      </c>
      <c r="G7" s="136"/>
      <c r="I7" s="139" t="str">
        <f t="shared" si="0"/>
        <v>SAMU26</v>
      </c>
      <c r="J7" s="140">
        <f>IF(B12="-","-",VLOOKUP(I7,'Onglet technique'!$B$117:$S$219,18,FALSE))</f>
        <v>0</v>
      </c>
      <c r="K7" s="139">
        <f t="shared" si="1"/>
        <v>32477.754202805932</v>
      </c>
      <c r="L7" s="139">
        <f t="shared" si="2"/>
        <v>89799.037863069578</v>
      </c>
      <c r="O7" s="136"/>
      <c r="R7" s="137" t="s">
        <v>523</v>
      </c>
      <c r="S7" s="137" t="s">
        <v>460</v>
      </c>
      <c r="T7" s="137" t="s">
        <v>504</v>
      </c>
      <c r="U7" s="137" t="s">
        <v>524</v>
      </c>
    </row>
    <row r="8" spans="1:21" x14ac:dyDescent="0.25">
      <c r="G8" s="136"/>
      <c r="I8" s="139" t="str">
        <f t="shared" si="0"/>
        <v>SAMU38</v>
      </c>
      <c r="J8" s="140">
        <f>IF(B13="-","-",VLOOKUP(I8,'Onglet technique'!$B$117:$S$219,18,FALSE))</f>
        <v>0</v>
      </c>
      <c r="K8" s="139">
        <f t="shared" si="1"/>
        <v>47499.539671005288</v>
      </c>
      <c r="L8" s="139">
        <f t="shared" si="2"/>
        <v>169569.06925688699</v>
      </c>
      <c r="O8" s="136"/>
      <c r="Q8" s="137" t="s">
        <v>431</v>
      </c>
      <c r="R8" s="139" t="str">
        <f t="shared" ref="R8:R17" si="3">IF(INDEX(TABLE_SAMU,MATCH(C$3,REG,0),MATCH($Q8,SAMU,0))=0,"-",INDEX(TABLE_SAMU,MATCH(C$3,REG,0),MATCH($Q8,SAMU,0)))</f>
        <v>SAMU01</v>
      </c>
      <c r="S8" s="139" t="str">
        <f t="shared" ref="S8:S17" si="4">IF(ISERROR(INDEX(SAMU_DEP,MATCH(R8,SAMU_2,0),1)),"-",INDEX(SAMU_DEP,MATCH(R8,SAMU_2,0),1))</f>
        <v>Ain</v>
      </c>
      <c r="T8" s="141">
        <f>IF(ISERROR(INDEX(POP_DEP_COEF,MATCH('C. Résultats par réghion 2017 '!S8,DEP_NOM,0),5)),"-",INDEX(POP_DEP_COEF,MATCH('C. Résultats par réghion 2017 '!S8,DEP_NOM,0),5))</f>
        <v>0</v>
      </c>
      <c r="U8" s="142">
        <f>IF(Q21="-","-",IF(E23&gt;200000,'B. Mode d''emploi et Paramètres'!$L$34,IF(E23&gt;75000,'B. Mode d''emploi et Paramètres'!$K$34,'B. Mode d''emploi et Paramètres'!$J$34)))</f>
        <v>0.15</v>
      </c>
    </row>
    <row r="9" spans="1:21" x14ac:dyDescent="0.25">
      <c r="B9" s="143" t="s">
        <v>548</v>
      </c>
      <c r="C9" s="137" t="s">
        <v>95</v>
      </c>
      <c r="D9" s="137" t="s">
        <v>501</v>
      </c>
      <c r="E9" s="137" t="s">
        <v>506</v>
      </c>
      <c r="G9" s="136"/>
      <c r="I9" s="139" t="str">
        <f t="shared" si="0"/>
        <v>SAMU42A</v>
      </c>
      <c r="J9" s="140" t="str">
        <f>IF(B14="-","-",VLOOKUP(I9,'Onglet technique'!$B$117:$S$219,18,FALSE))</f>
        <v>Oui</v>
      </c>
      <c r="K9" s="139">
        <f t="shared" si="1"/>
        <v>0</v>
      </c>
      <c r="L9" s="139">
        <f t="shared" si="2"/>
        <v>0</v>
      </c>
      <c r="O9" s="136"/>
      <c r="Q9" s="137" t="s">
        <v>432</v>
      </c>
      <c r="R9" s="139" t="str">
        <f t="shared" si="3"/>
        <v>SAMU07</v>
      </c>
      <c r="S9" s="139" t="str">
        <f t="shared" si="4"/>
        <v>Ardèche</v>
      </c>
      <c r="T9" s="141">
        <f>IF(ISERROR(INDEX(POP_DEP_COEF,MATCH('C. Résultats par réghion 2017 '!S9,DEP_NOM,0),5)),"-",INDEX(POP_DEP_COEF,MATCH('C. Résultats par réghion 2017 '!S9,DEP_NOM,0),5))</f>
        <v>0</v>
      </c>
      <c r="U9" s="142">
        <f>IF(Q22="-","-",IF(E24&gt;200000,'B. Mode d''emploi et Paramètres'!$L$34,IF(E24&gt;75000,'B. Mode d''emploi et Paramètres'!$K$34,'B. Mode d''emploi et Paramètres'!$J$34)))</f>
        <v>0.15</v>
      </c>
    </row>
    <row r="10" spans="1:21" x14ac:dyDescent="0.25">
      <c r="B10" s="139" t="str">
        <f t="shared" ref="B10:B19" si="5">R8</f>
        <v>SAMU01</v>
      </c>
      <c r="C10" s="119"/>
      <c r="D10" s="119"/>
      <c r="E10" s="119"/>
      <c r="G10" s="136"/>
      <c r="I10" s="139" t="str">
        <f t="shared" si="0"/>
        <v>SAMU42B</v>
      </c>
      <c r="J10" s="140" t="str">
        <f>IF(B15="-","-",VLOOKUP(I10,'Onglet technique'!$B$117:$S$219,18,FALSE))</f>
        <v>Oui</v>
      </c>
      <c r="K10" s="139">
        <f t="shared" si="1"/>
        <v>0</v>
      </c>
      <c r="L10" s="139">
        <f t="shared" si="2"/>
        <v>0</v>
      </c>
      <c r="O10" s="136"/>
      <c r="Q10" s="137" t="s">
        <v>433</v>
      </c>
      <c r="R10" s="139" t="str">
        <f t="shared" si="3"/>
        <v>SAMU26</v>
      </c>
      <c r="S10" s="139" t="str">
        <f t="shared" si="4"/>
        <v>Drôme</v>
      </c>
      <c r="T10" s="141">
        <f>IF(ISERROR(INDEX(POP_DEP_COEF,MATCH('C. Résultats par réghion 2017 '!S10,DEP_NOM,0),5)),"-",INDEX(POP_DEP_COEF,MATCH('C. Résultats par réghion 2017 '!S10,DEP_NOM,0),5))</f>
        <v>0</v>
      </c>
      <c r="U10" s="142">
        <f>IF(Q23="-","-",IF(E25&gt;200000,'B. Mode d''emploi et Paramètres'!$L$34,IF(E25&gt;75000,'B. Mode d''emploi et Paramètres'!$K$34,'B. Mode d''emploi et Paramètres'!$J$34)))</f>
        <v>0.15</v>
      </c>
    </row>
    <row r="11" spans="1:21" x14ac:dyDescent="0.25">
      <c r="B11" s="139" t="str">
        <f t="shared" si="5"/>
        <v>SAMU07</v>
      </c>
      <c r="C11" s="119"/>
      <c r="D11" s="119"/>
      <c r="E11" s="119"/>
      <c r="G11" s="136"/>
      <c r="I11" s="139" t="str">
        <f t="shared" si="0"/>
        <v>SAMU69</v>
      </c>
      <c r="J11" s="140">
        <f>IF(B16="-","-",VLOOKUP(I11,'Onglet technique'!$B$117:$S$219,18,FALSE))</f>
        <v>0</v>
      </c>
      <c r="K11" s="139">
        <f t="shared" si="1"/>
        <v>71802.98062151784</v>
      </c>
      <c r="L11" s="139">
        <f t="shared" si="2"/>
        <v>266058.38181978447</v>
      </c>
      <c r="O11" s="136"/>
      <c r="Q11" s="137" t="s">
        <v>438</v>
      </c>
      <c r="R11" s="139" t="str">
        <f t="shared" si="3"/>
        <v>SAMU38</v>
      </c>
      <c r="S11" s="139" t="str">
        <f t="shared" si="4"/>
        <v>Isère</v>
      </c>
      <c r="T11" s="141">
        <f>IF(ISERROR(INDEX(POP_DEP_COEF,MATCH('C. Résultats par réghion 2017 '!S11,DEP_NOM,0),5)),"-",INDEX(POP_DEP_COEF,MATCH('C. Résultats par réghion 2017 '!S11,DEP_NOM,0),5))</f>
        <v>0</v>
      </c>
      <c r="U11" s="142">
        <f>IF(Q24="-","-",IF(E26&gt;200000,'B. Mode d''emploi et Paramètres'!$L$34,IF(E26&gt;75000,'B. Mode d''emploi et Paramètres'!$K$34,'B. Mode d''emploi et Paramètres'!$J$34)))</f>
        <v>0.17499999999999999</v>
      </c>
    </row>
    <row r="12" spans="1:21" x14ac:dyDescent="0.25">
      <c r="B12" s="139" t="str">
        <f t="shared" si="5"/>
        <v>SAMU26</v>
      </c>
      <c r="C12" s="119"/>
      <c r="D12" s="120"/>
      <c r="E12" s="119"/>
      <c r="G12" s="136"/>
      <c r="I12" s="139" t="str">
        <f t="shared" si="0"/>
        <v>SAMU73</v>
      </c>
      <c r="J12" s="140">
        <f>IF(B17="-","-",VLOOKUP(I12,'Onglet technique'!$B$117:$S$219,18,FALSE))</f>
        <v>0</v>
      </c>
      <c r="K12" s="139">
        <f t="shared" si="1"/>
        <v>32095.999788810368</v>
      </c>
      <c r="L12" s="139">
        <f t="shared" si="2"/>
        <v>97126.535591552456</v>
      </c>
      <c r="O12" s="136"/>
      <c r="Q12" s="137" t="s">
        <v>439</v>
      </c>
      <c r="R12" s="139" t="str">
        <f t="shared" si="3"/>
        <v>SAMU42A</v>
      </c>
      <c r="S12" s="139" t="str">
        <f t="shared" si="4"/>
        <v>Loire</v>
      </c>
      <c r="T12" s="141">
        <f>IF(ISERROR(INDEX(POP_DEP_COEF,MATCH('C. Résultats par réghion 2017 '!S12,DEP_NOM,0),5)),"-",INDEX(POP_DEP_COEF,MATCH('C. Résultats par réghion 2017 '!S12,DEP_NOM,0),5))</f>
        <v>0</v>
      </c>
      <c r="U12" s="142">
        <f>IF(Q25="-","-",IF(E27&gt;200000,'B. Mode d''emploi et Paramètres'!$L$34,IF(E27&gt;75000,'B. Mode d''emploi et Paramètres'!$K$34,'B. Mode d''emploi et Paramètres'!$J$34)))</f>
        <v>0.15</v>
      </c>
    </row>
    <row r="13" spans="1:21" x14ac:dyDescent="0.25">
      <c r="B13" s="139" t="str">
        <f t="shared" si="5"/>
        <v>SAMU38</v>
      </c>
      <c r="C13" s="119"/>
      <c r="D13" s="120"/>
      <c r="E13" s="119"/>
      <c r="G13" s="136"/>
      <c r="I13" s="139" t="str">
        <f t="shared" si="0"/>
        <v>SAMU74</v>
      </c>
      <c r="J13" s="140">
        <f>IF(B18="-","-",VLOOKUP(I13,'Onglet technique'!$B$117:$S$219,18,FALSE))</f>
        <v>0</v>
      </c>
      <c r="K13" s="139">
        <f t="shared" si="1"/>
        <v>48939.175236779956</v>
      </c>
      <c r="L13" s="139">
        <f t="shared" si="2"/>
        <v>130156.97624500537</v>
      </c>
      <c r="O13" s="136"/>
      <c r="Q13" s="137" t="s">
        <v>440</v>
      </c>
      <c r="R13" s="139" t="str">
        <f t="shared" si="3"/>
        <v>SAMU42B</v>
      </c>
      <c r="S13" s="139" t="str">
        <f t="shared" si="4"/>
        <v>Loire</v>
      </c>
      <c r="T13" s="141">
        <f>IF(ISERROR(INDEX(POP_DEP_COEF,MATCH('C. Résultats par réghion 2017 '!S13,DEP_NOM,0),5)),"-",INDEX(POP_DEP_COEF,MATCH('C. Résultats par réghion 2017 '!S13,DEP_NOM,0),5))</f>
        <v>0</v>
      </c>
      <c r="U13" s="142">
        <f>IF(Q26="-","-",IF(E28&gt;200000,'B. Mode d''emploi et Paramètres'!$L$34,IF(E28&gt;75000,'B. Mode d''emploi et Paramètres'!$K$34,'B. Mode d''emploi et Paramètres'!$J$34)))</f>
        <v>0.125</v>
      </c>
    </row>
    <row r="14" spans="1:21" x14ac:dyDescent="0.25">
      <c r="B14" s="139" t="str">
        <f t="shared" si="5"/>
        <v>SAMU42A</v>
      </c>
      <c r="C14" s="119"/>
      <c r="D14" s="120"/>
      <c r="E14" s="119"/>
      <c r="G14" s="136"/>
      <c r="I14" s="139" t="str">
        <f t="shared" si="0"/>
        <v>-</v>
      </c>
      <c r="J14" s="140" t="str">
        <f>IF(B19="-","-",VLOOKUP(I14,'Onglet technique'!$B$117:$S$219,18,FALSE))</f>
        <v>-</v>
      </c>
      <c r="K14" s="155" t="str">
        <f t="shared" si="1"/>
        <v>-</v>
      </c>
      <c r="L14" s="155" t="str">
        <f t="shared" si="2"/>
        <v>-</v>
      </c>
      <c r="O14" s="136"/>
      <c r="Q14" s="137" t="s">
        <v>441</v>
      </c>
      <c r="R14" s="139" t="str">
        <f t="shared" si="3"/>
        <v>SAMU69</v>
      </c>
      <c r="S14" s="139" t="str">
        <f t="shared" si="4"/>
        <v>Rhône</v>
      </c>
      <c r="T14" s="141">
        <f>IF(ISERROR(INDEX(POP_DEP_COEF,MATCH('C. Résultats par réghion 2017 '!S14,DEP_NOM,0),5)),"-",INDEX(POP_DEP_COEF,MATCH('C. Résultats par réghion 2017 '!S14,DEP_NOM,0),5))</f>
        <v>0</v>
      </c>
      <c r="U14" s="142">
        <f>IF(Q27="-","-",IF(E29&gt;200000,'B. Mode d''emploi et Paramètres'!$L$34,IF(E29&gt;75000,'B. Mode d''emploi et Paramètres'!$K$34,'B. Mode d''emploi et Paramètres'!$J$34)))</f>
        <v>0.17499999999999999</v>
      </c>
    </row>
    <row r="15" spans="1:21" x14ac:dyDescent="0.25">
      <c r="B15" s="139" t="str">
        <f t="shared" si="5"/>
        <v>SAMU42B</v>
      </c>
      <c r="C15" s="119"/>
      <c r="D15" s="120"/>
      <c r="E15" s="119"/>
      <c r="G15" s="136"/>
      <c r="L15" s="158" t="s">
        <v>606</v>
      </c>
      <c r="M15" s="159">
        <f>SUM(K5:L14)</f>
        <v>1234847.2923436349</v>
      </c>
      <c r="O15" s="136"/>
      <c r="Q15" s="137" t="s">
        <v>442</v>
      </c>
      <c r="R15" s="139" t="str">
        <f t="shared" si="3"/>
        <v>SAMU73</v>
      </c>
      <c r="S15" s="139" t="str">
        <f t="shared" si="4"/>
        <v>Savoie</v>
      </c>
      <c r="T15" s="141">
        <f>IF(ISERROR(INDEX(POP_DEP_COEF,MATCH('C. Résultats par réghion 2017 '!S15,DEP_NOM,0),5)),"-",INDEX(POP_DEP_COEF,MATCH('C. Résultats par réghion 2017 '!S15,DEP_NOM,0),5))</f>
        <v>0</v>
      </c>
      <c r="U15" s="142">
        <f>IF(Q28="-","-",IF(E30&gt;200000,'B. Mode d''emploi et Paramètres'!$L$34,IF(E30&gt;75000,'B. Mode d''emploi et Paramètres'!$K$34,'B. Mode d''emploi et Paramètres'!$J$34)))</f>
        <v>0.15</v>
      </c>
    </row>
    <row r="16" spans="1:21" x14ac:dyDescent="0.25">
      <c r="B16" s="139" t="str">
        <f t="shared" si="5"/>
        <v>SAMU69</v>
      </c>
      <c r="C16" s="119"/>
      <c r="D16" s="120"/>
      <c r="E16" s="119"/>
      <c r="G16" s="136"/>
      <c r="O16" s="136"/>
      <c r="Q16" s="137" t="s">
        <v>443</v>
      </c>
      <c r="R16" s="139" t="str">
        <f t="shared" si="3"/>
        <v>SAMU74</v>
      </c>
      <c r="S16" s="139" t="str">
        <f t="shared" si="4"/>
        <v>Haute-Savoie</v>
      </c>
      <c r="T16" s="141">
        <f>IF(ISERROR(INDEX(POP_DEP_COEF,MATCH('C. Résultats par réghion 2017 '!S16,DEP_NOM,0),5)),"-",INDEX(POP_DEP_COEF,MATCH('C. Résultats par réghion 2017 '!S16,DEP_NOM,0),5))</f>
        <v>0</v>
      </c>
      <c r="U16" s="142">
        <f>IF(Q29="-","-",IF(E31&gt;200000,'B. Mode d''emploi et Paramètres'!$L$34,IF(E31&gt;75000,'B. Mode d''emploi et Paramètres'!$K$34,'B. Mode d''emploi et Paramètres'!$J$34)))</f>
        <v>0.15</v>
      </c>
    </row>
    <row r="17" spans="2:24" ht="15.75" x14ac:dyDescent="0.25">
      <c r="B17" s="139" t="str">
        <f t="shared" si="5"/>
        <v>SAMU73</v>
      </c>
      <c r="C17" s="119"/>
      <c r="D17" s="120"/>
      <c r="E17" s="119"/>
      <c r="G17" s="136"/>
      <c r="I17" s="134" t="s">
        <v>571</v>
      </c>
      <c r="O17" s="136"/>
      <c r="Q17" s="137" t="s">
        <v>444</v>
      </c>
      <c r="R17" s="139" t="str">
        <f t="shared" si="3"/>
        <v>-</v>
      </c>
      <c r="S17" s="139" t="str">
        <f t="shared" si="4"/>
        <v>-</v>
      </c>
      <c r="T17" s="141" t="str">
        <f>IF(ISERROR(INDEX(POP_DEP_COEF,MATCH('C. Résultats par réghion 2017 '!S17,DEP_NOM,0),5)),"-",INDEX(POP_DEP_COEF,MATCH('C. Résultats par réghion 2017 '!S17,DEP_NOM,0),5))</f>
        <v>-</v>
      </c>
      <c r="U17" s="142" t="str">
        <f>IF(Q30="-","-",IF(E32&gt;200000,'B. Mode d''emploi et Paramètres'!$L$34,IF(E32&gt;75000,'B. Mode d''emploi et Paramètres'!$K$34,'B. Mode d''emploi et Paramètres'!$J$34)))</f>
        <v>-</v>
      </c>
    </row>
    <row r="18" spans="2:24" x14ac:dyDescent="0.25">
      <c r="B18" s="139" t="str">
        <f t="shared" si="5"/>
        <v>SAMU74</v>
      </c>
      <c r="C18" s="119"/>
      <c r="D18" s="120"/>
      <c r="E18" s="119"/>
      <c r="G18" s="136"/>
      <c r="I18" s="137" t="s">
        <v>523</v>
      </c>
      <c r="J18" s="137" t="s">
        <v>560</v>
      </c>
      <c r="K18" s="137" t="s">
        <v>570</v>
      </c>
      <c r="O18" s="136"/>
    </row>
    <row r="19" spans="2:24" ht="15.75" x14ac:dyDescent="0.25">
      <c r="B19" s="139" t="str">
        <f t="shared" si="5"/>
        <v>-</v>
      </c>
      <c r="C19" s="119"/>
      <c r="D19" s="120"/>
      <c r="E19" s="119"/>
      <c r="G19" s="136"/>
      <c r="I19" s="139" t="str">
        <f t="shared" ref="I19:I28" si="6">R8</f>
        <v>SAMU01</v>
      </c>
      <c r="J19" s="139">
        <f t="shared" ref="J19:J28" si="7">+J5</f>
        <v>0</v>
      </c>
      <c r="K19" s="139">
        <f t="shared" ref="K19:K28" si="8">IF(I5="-","-",IF(J5=0,E36*1.86061737387386%,0))</f>
        <v>33594.266524625622</v>
      </c>
      <c r="O19" s="136"/>
      <c r="Q19" s="134" t="s">
        <v>598</v>
      </c>
    </row>
    <row r="20" spans="2:24" x14ac:dyDescent="0.25">
      <c r="G20" s="136"/>
      <c r="I20" s="139" t="str">
        <f t="shared" si="6"/>
        <v>SAMU07</v>
      </c>
      <c r="J20" s="139">
        <f t="shared" si="7"/>
        <v>0</v>
      </c>
      <c r="K20" s="139">
        <f t="shared" si="8"/>
        <v>30792.840906517096</v>
      </c>
      <c r="O20" s="136"/>
      <c r="Q20" s="137" t="s">
        <v>523</v>
      </c>
      <c r="R20" s="137" t="s">
        <v>517</v>
      </c>
      <c r="S20" s="137" t="s">
        <v>518</v>
      </c>
      <c r="T20" s="137" t="s">
        <v>519</v>
      </c>
      <c r="U20" s="137" t="s">
        <v>520</v>
      </c>
      <c r="V20" s="137" t="s">
        <v>521</v>
      </c>
      <c r="W20" s="137" t="s">
        <v>522</v>
      </c>
      <c r="X20" s="137" t="s">
        <v>529</v>
      </c>
    </row>
    <row r="21" spans="2:24" x14ac:dyDescent="0.25">
      <c r="C21" s="194" t="s">
        <v>564</v>
      </c>
      <c r="D21" s="195"/>
      <c r="E21" s="196"/>
      <c r="G21" s="136"/>
      <c r="I21" s="139" t="str">
        <f t="shared" si="6"/>
        <v>SAMU26</v>
      </c>
      <c r="J21" s="139">
        <f t="shared" si="7"/>
        <v>0</v>
      </c>
      <c r="K21" s="139">
        <f t="shared" si="8"/>
        <v>34976.04298763736</v>
      </c>
      <c r="O21" s="136"/>
      <c r="Q21" s="139" t="str">
        <f t="shared" ref="Q21:Q30" si="9">R8</f>
        <v>SAMU01</v>
      </c>
      <c r="R21" s="145">
        <f>IF(C23="-",0,MAX(1,IF(C23*(1-D23)&lt;'B. Mode d''emploi et Paramètres'!$J$9,1,'B. Mode d''emploi et Paramètres'!$K$9+'B. Mode d''emploi et Paramètres'!$L$9*C23*(1-D23))))</f>
        <v>1</v>
      </c>
      <c r="S21" s="145">
        <f>IF(E23="-",0,MAX(1,IF(E23&lt;'B. Mode d''emploi et Paramètres'!$J$10,1,'B. Mode d''emploi et Paramètres'!$K$10+'B. Mode d''emploi et Paramètres'!$L$10*E23)))</f>
        <v>3.0796223614487555</v>
      </c>
      <c r="T21" s="145">
        <f>IF(C23="-",0,IF(C23&gt;300000,6,IF(C23&gt;250000,4,IF(C23&gt;120000,3,0))))</f>
        <v>0</v>
      </c>
      <c r="U21" s="145">
        <f>IF(C23="-",0,ROUNDUP((C23/50000),0)/2)</f>
        <v>1</v>
      </c>
      <c r="V21" s="146">
        <f>IF(C23="-",0,ROUNDUP((C23/100000),0)/4)</f>
        <v>0.25</v>
      </c>
      <c r="W21" s="145">
        <f>IF(C23="-",0,1)</f>
        <v>1</v>
      </c>
      <c r="X21" s="145">
        <f>IF(R21="-","-",VLOOKUP(Q21,'Onglet technique'!$B$117:$R$219,17,FALSE))</f>
        <v>1</v>
      </c>
    </row>
    <row r="22" spans="2:24" x14ac:dyDescent="0.25">
      <c r="B22" s="137" t="s">
        <v>423</v>
      </c>
      <c r="C22" s="137" t="s">
        <v>499</v>
      </c>
      <c r="D22" s="137" t="s">
        <v>501</v>
      </c>
      <c r="E22" s="137" t="s">
        <v>500</v>
      </c>
      <c r="G22" s="136"/>
      <c r="I22" s="139" t="str">
        <f t="shared" si="6"/>
        <v>SAMU38</v>
      </c>
      <c r="J22" s="139">
        <f t="shared" si="7"/>
        <v>0</v>
      </c>
      <c r="K22" s="139">
        <f t="shared" si="8"/>
        <v>51153.350414929067</v>
      </c>
      <c r="O22" s="136"/>
      <c r="Q22" s="139" t="str">
        <f t="shared" si="9"/>
        <v>SAMU07</v>
      </c>
      <c r="R22" s="145">
        <f>IF(C24="-",0,MAX(1,IF(C24*(1-D24)&lt;'B. Mode d''emploi et Paramètres'!$J$9,1,'B. Mode d''emploi et Paramètres'!$K$9+'B. Mode d''emploi et Paramètres'!$L$9*C24*(1-D24))))</f>
        <v>1</v>
      </c>
      <c r="S22" s="145">
        <f>IF(E24="-",0,MAX(1,IF(E24&lt;'B. Mode d''emploi et Paramètres'!$J$10,1,'B. Mode d''emploi et Paramètres'!$K$10+'B. Mode d''emploi et Paramètres'!$L$10*E24)))</f>
        <v>2.5165891853873728</v>
      </c>
      <c r="T22" s="145">
        <f t="shared" ref="T22:T30" si="10">IF(C24="-",0,IF(C24&gt;300000,6,IF(C24&gt;250000,4,IF(C24&gt;120000,3,0))))</f>
        <v>0</v>
      </c>
      <c r="U22" s="145">
        <f t="shared" ref="U22:U30" si="11">IF(C24="-",0,ROUNDUP((C24/50000),0)/2)</f>
        <v>1</v>
      </c>
      <c r="V22" s="146">
        <f t="shared" ref="V22:V30" si="12">IF(C24="-",0,ROUNDUP((C24/100000),0)/4)</f>
        <v>0.25</v>
      </c>
      <c r="W22" s="145">
        <f t="shared" ref="W22:W30" si="13">IF(C24="-",0,1)</f>
        <v>1</v>
      </c>
      <c r="X22" s="145">
        <f>IF(R22="-","-",VLOOKUP(Q22,'Onglet technique'!$B$117:$R$219,17,FALSE))</f>
        <v>1</v>
      </c>
    </row>
    <row r="23" spans="2:24" x14ac:dyDescent="0.25">
      <c r="B23" s="139" t="str">
        <f t="shared" ref="B23:B32" si="14">R8</f>
        <v>SAMU01</v>
      </c>
      <c r="C23" s="139">
        <f>IF(B10="-","-",IF($D$5="Saisie manuelle",C10,VLOOKUP(B23,'Onglet technique'!$B$117:$R$219,8,FALSE)))</f>
        <v>90659</v>
      </c>
      <c r="D23" s="147">
        <f>IF(B10="-","-",IF($D$5="Saisie manuelle",D10,VLOOKUP($B23,'Onglet technique'!$B$117:$R$219,11,FALSE)))</f>
        <v>0.48307692307692307</v>
      </c>
      <c r="E23" s="139">
        <f>IF(B10="-","-",IF($D$5="Saisie manuelle",E10,VLOOKUP($B23,'Onglet technique'!$B$117:$R$219,10,FALSE)))</f>
        <v>114537</v>
      </c>
      <c r="G23" s="136"/>
      <c r="I23" s="139" t="str">
        <f t="shared" si="6"/>
        <v>SAMU42A</v>
      </c>
      <c r="J23" s="139" t="str">
        <f t="shared" si="7"/>
        <v>Oui</v>
      </c>
      <c r="K23" s="139">
        <f t="shared" si="8"/>
        <v>0</v>
      </c>
      <c r="O23" s="136"/>
      <c r="Q23" s="139" t="str">
        <f t="shared" si="9"/>
        <v>SAMU26</v>
      </c>
      <c r="R23" s="145">
        <f>IF(C25="-",0,MAX(1,IF(C25*(1-D25)&lt;'B. Mode d''emploi et Paramètres'!$J$9,1,'B. Mode d''emploi et Paramètres'!$K$9+'B. Mode d''emploi et Paramètres'!$L$9*C25*(1-D25))))</f>
        <v>1.2344991284145608</v>
      </c>
      <c r="S23" s="145">
        <f>IF(E25="-",0,MAX(1,IF(E25&lt;'B. Mode d''emploi et Paramètres'!$J$10,1,'B. Mode d''emploi et Paramètres'!$K$10+'B. Mode d''emploi et Paramètres'!$L$10*E25)))</f>
        <v>2.6514235255832252</v>
      </c>
      <c r="T23" s="145">
        <f t="shared" si="10"/>
        <v>0</v>
      </c>
      <c r="U23" s="145">
        <f t="shared" si="11"/>
        <v>1</v>
      </c>
      <c r="V23" s="146">
        <f t="shared" si="12"/>
        <v>0.25</v>
      </c>
      <c r="W23" s="145">
        <f t="shared" si="13"/>
        <v>1</v>
      </c>
      <c r="X23" s="145">
        <f>IF(R23="-","-",VLOOKUP(Q23,'Onglet technique'!$B$117:$R$219,17,FALSE))</f>
        <v>1</v>
      </c>
    </row>
    <row r="24" spans="2:24" x14ac:dyDescent="0.25">
      <c r="B24" s="139" t="str">
        <f t="shared" si="14"/>
        <v>SAMU07</v>
      </c>
      <c r="C24" s="139">
        <f>IF(B11="-","-",IF($D$5="Saisie manuelle",C11,VLOOKUP(B24,'Onglet technique'!$B$117:$R$219,8,FALSE)))</f>
        <v>68007.021008821146</v>
      </c>
      <c r="D24" s="147">
        <f>IF(B11="-","-",IF($D$5="Saisie manuelle",D11,VLOOKUP($B24,'Onglet technique'!$B$117:$R$219,11,FALSE)))</f>
        <v>0.32000636560614037</v>
      </c>
      <c r="E24" s="139">
        <f>IF(B11="-","-",IF($D$5="Saisie manuelle",E11,VLOOKUP($B24,'Onglet technique'!$B$117:$R$219,10,FALSE)))</f>
        <v>83933</v>
      </c>
      <c r="G24" s="136"/>
      <c r="I24" s="139" t="str">
        <f t="shared" si="6"/>
        <v>SAMU42B</v>
      </c>
      <c r="J24" s="139" t="str">
        <f t="shared" si="7"/>
        <v>Oui</v>
      </c>
      <c r="K24" s="139">
        <f t="shared" si="8"/>
        <v>0</v>
      </c>
      <c r="O24" s="136"/>
      <c r="Q24" s="139" t="str">
        <f t="shared" si="9"/>
        <v>SAMU38</v>
      </c>
      <c r="R24" s="145">
        <f>IF(C26="-",0,MAX(1,IF(C26*(1-D26)&lt;'B. Mode d''emploi et Paramètres'!$J$9,1,'B. Mode d''emploi et Paramètres'!$K$9+'B. Mode d''emploi et Paramètres'!$L$9*C26*(1-D26))))</f>
        <v>1.1865207716047501</v>
      </c>
      <c r="S24" s="145">
        <f>IF(E26="-",0,MAX(1,IF(E26&lt;'B. Mode d''emploi et Paramètres'!$J$10,1,'B. Mode d''emploi et Paramètres'!$K$10+'B. Mode d''emploi et Paramètres'!$L$10*E26)))</f>
        <v>5.0067286926229082</v>
      </c>
      <c r="T24" s="145">
        <f t="shared" si="10"/>
        <v>3</v>
      </c>
      <c r="U24" s="145">
        <f t="shared" si="11"/>
        <v>1.5</v>
      </c>
      <c r="V24" s="146">
        <f t="shared" si="12"/>
        <v>0.5</v>
      </c>
      <c r="W24" s="145">
        <f t="shared" si="13"/>
        <v>1</v>
      </c>
      <c r="X24" s="145">
        <f>IF(R24="-","-",VLOOKUP(Q24,'Onglet technique'!$B$117:$R$219,17,FALSE))</f>
        <v>1</v>
      </c>
    </row>
    <row r="25" spans="2:24" x14ac:dyDescent="0.25">
      <c r="B25" s="139" t="str">
        <f t="shared" si="14"/>
        <v>SAMU26</v>
      </c>
      <c r="C25" s="139">
        <f>IF(B12="-","-",IF($D$5="Saisie manuelle",C12,VLOOKUP(B25,'Onglet technique'!$B$117:$R$219,8,FALSE)))</f>
        <v>91262</v>
      </c>
      <c r="D25" s="147">
        <f>IF(B12="-","-",IF($D$5="Saisie manuelle",D12,VLOOKUP($B25,'Onglet technique'!$B$117:$R$219,11,FALSE)))</f>
        <v>0.21495327102803738</v>
      </c>
      <c r="E25" s="139">
        <f>IF(B12="-","-",IF($D$5="Saisie manuelle",E12,VLOOKUP($B25,'Onglet technique'!$B$117:$R$219,10,FALSE)))</f>
        <v>91262</v>
      </c>
      <c r="G25" s="136"/>
      <c r="I25" s="139" t="str">
        <f t="shared" si="6"/>
        <v>SAMU69</v>
      </c>
      <c r="J25" s="139">
        <f t="shared" si="7"/>
        <v>0</v>
      </c>
      <c r="K25" s="139">
        <f t="shared" si="8"/>
        <v>77326.286823173505</v>
      </c>
      <c r="O25" s="136"/>
      <c r="Q25" s="139" t="str">
        <f t="shared" si="9"/>
        <v>SAMU42A</v>
      </c>
      <c r="R25" s="145">
        <f>IF(C27="-",0,MAX(1,IF(C27*(1-D27)&lt;'B. Mode d''emploi et Paramètres'!$J$9,1,'B. Mode d''emploi et Paramètres'!$K$9+'B. Mode d''emploi et Paramètres'!$L$9*C27*(1-D27))))</f>
        <v>1</v>
      </c>
      <c r="S25" s="145">
        <f>IF(E27="-",0,MAX(1,IF(E27&lt;'B. Mode d''emploi et Paramètres'!$J$10,1,'B. Mode d''emploi et Paramètres'!$K$10+'B. Mode d''emploi et Paramètres'!$L$10*E27)))</f>
        <v>2.9396551544341492</v>
      </c>
      <c r="T25" s="145">
        <f t="shared" si="10"/>
        <v>0</v>
      </c>
      <c r="U25" s="145">
        <f t="shared" si="11"/>
        <v>1</v>
      </c>
      <c r="V25" s="146">
        <f t="shared" si="12"/>
        <v>0.25</v>
      </c>
      <c r="W25" s="145">
        <f t="shared" si="13"/>
        <v>1</v>
      </c>
      <c r="X25" s="145">
        <f>IF(R25="-","-",VLOOKUP(Q25,'Onglet technique'!$B$117:$R$219,17,FALSE))</f>
        <v>0.5</v>
      </c>
    </row>
    <row r="26" spans="2:24" x14ac:dyDescent="0.25">
      <c r="B26" s="139" t="str">
        <f t="shared" si="14"/>
        <v>SAMU38</v>
      </c>
      <c r="C26" s="139">
        <f>IF(B13="-","-",IF($D$5="Saisie manuelle",C13,VLOOKUP(B26,'Onglet technique'!$B$117:$R$219,8,FALSE)))</f>
        <v>138052.15264414382</v>
      </c>
      <c r="D26" s="147">
        <f>IF(B13="-","-",IF($D$5="Saisie manuelle",D13,VLOOKUP($B26,'Onglet technique'!$B$117:$R$219,11,FALSE)))</f>
        <v>0.50999948513132831</v>
      </c>
      <c r="E26" s="139">
        <f>IF(B13="-","-",IF($D$5="Saisie manuelle",E13,VLOOKUP($B26,'Onglet technique'!$B$117:$R$219,10,FALSE)))</f>
        <v>219286</v>
      </c>
      <c r="G26" s="136"/>
      <c r="I26" s="139" t="str">
        <f t="shared" si="6"/>
        <v>SAMU73</v>
      </c>
      <c r="J26" s="139">
        <f t="shared" si="7"/>
        <v>0</v>
      </c>
      <c r="K26" s="139">
        <f t="shared" si="8"/>
        <v>34564.922849488292</v>
      </c>
      <c r="O26" s="136"/>
      <c r="Q26" s="139" t="str">
        <f t="shared" si="9"/>
        <v>SAMU42B</v>
      </c>
      <c r="R26" s="145">
        <f>IF(C28="-",0,MAX(1,IF(C28*(1-D28)&lt;'B. Mode d''emploi et Paramètres'!$J$9,1,'B. Mode d''emploi et Paramètres'!$K$9+'B. Mode d''emploi et Paramètres'!$L$9*C28*(1-D28))))</f>
        <v>1</v>
      </c>
      <c r="S26" s="145">
        <f>IF(E28="-",0,MAX(1,IF(E28&lt;'B. Mode d''emploi et Paramètres'!$J$10,1,'B. Mode d''emploi et Paramètres'!$K$10+'B. Mode d''emploi et Paramètres'!$L$10*E28)))</f>
        <v>1.8235049858787962</v>
      </c>
      <c r="T26" s="145">
        <f t="shared" si="10"/>
        <v>0</v>
      </c>
      <c r="U26" s="145">
        <f t="shared" si="11"/>
        <v>0.5</v>
      </c>
      <c r="V26" s="146">
        <f t="shared" si="12"/>
        <v>0.25</v>
      </c>
      <c r="W26" s="145">
        <f t="shared" si="13"/>
        <v>1</v>
      </c>
      <c r="X26" s="145">
        <f>IF(R26="-","-",VLOOKUP(Q26,'Onglet technique'!$B$117:$R$219,17,FALSE))</f>
        <v>0.5</v>
      </c>
    </row>
    <row r="27" spans="2:24" x14ac:dyDescent="0.25">
      <c r="B27" s="139" t="str">
        <f t="shared" si="14"/>
        <v>SAMU42A</v>
      </c>
      <c r="C27" s="139">
        <f>IF(B14="-","-",IF($D$5="Saisie manuelle",C14,VLOOKUP(B27,'Onglet technique'!$B$117:$R$219,8,FALSE)))</f>
        <v>75140</v>
      </c>
      <c r="D27" s="147">
        <f>IF(B14="-","-",IF($D$5="Saisie manuelle",D14,VLOOKUP($B27,'Onglet technique'!$B$117:$R$219,11,FALSE)))</f>
        <v>0.44</v>
      </c>
      <c r="E27" s="139">
        <f>IF(B14="-","-",IF($D$5="Saisie manuelle",E14,VLOOKUP($B27,'Onglet technique'!$B$117:$R$219,10,FALSE)))</f>
        <v>106929</v>
      </c>
      <c r="G27" s="136"/>
      <c r="I27" s="139" t="str">
        <f t="shared" si="6"/>
        <v>SAMU74</v>
      </c>
      <c r="J27" s="139">
        <f t="shared" si="7"/>
        <v>0</v>
      </c>
      <c r="K27" s="139">
        <f t="shared" si="8"/>
        <v>52703.727178071029</v>
      </c>
      <c r="O27" s="136"/>
      <c r="Q27" s="139" t="str">
        <f t="shared" si="9"/>
        <v>SAMU69</v>
      </c>
      <c r="R27" s="145">
        <f>IF(C29="-",0,MAX(1,IF(C29*(1-D29)&lt;'B. Mode d''emploi et Paramètres'!$J$9,1,'B. Mode d''emploi et Paramètres'!$K$9+'B. Mode d''emploi et Paramètres'!$L$9*C29*(1-D29))))</f>
        <v>1.8860439210109925</v>
      </c>
      <c r="S27" s="145">
        <f>IF(E29="-",0,MAX(1,IF(E29&lt;'B. Mode d''emploi et Paramètres'!$J$10,1,'B. Mode d''emploi et Paramètres'!$K$10+'B. Mode d''emploi et Paramètres'!$L$10*E29)))</f>
        <v>7.8556905454963086</v>
      </c>
      <c r="T27" s="145">
        <f t="shared" si="10"/>
        <v>3</v>
      </c>
      <c r="U27" s="145">
        <f t="shared" si="11"/>
        <v>2.5</v>
      </c>
      <c r="V27" s="146">
        <f t="shared" si="12"/>
        <v>0.75</v>
      </c>
      <c r="W27" s="145">
        <f t="shared" si="13"/>
        <v>1</v>
      </c>
      <c r="X27" s="145">
        <f>IF(R27="-","-",VLOOKUP(Q27,'Onglet technique'!$B$117:$R$219,17,FALSE))</f>
        <v>1</v>
      </c>
    </row>
    <row r="28" spans="2:24" x14ac:dyDescent="0.25">
      <c r="B28" s="139" t="str">
        <f t="shared" si="14"/>
        <v>SAMU42B</v>
      </c>
      <c r="C28" s="139">
        <f>IF(B15="-","-",IF($D$5="Saisie manuelle",C15,VLOOKUP(B28,'Onglet technique'!$B$117:$R$219,8,FALSE)))</f>
        <v>46260</v>
      </c>
      <c r="D28" s="147">
        <f>IF(B15="-","-",IF($D$5="Saisie manuelle",D15,VLOOKUP($B28,'Onglet technique'!$B$117:$R$219,11,FALSE)))</f>
        <v>0.23249027237354086</v>
      </c>
      <c r="E28" s="139">
        <f>IF(B15="-","-",IF($D$5="Saisie manuelle",E15,VLOOKUP($B28,'Onglet technique'!$B$117:$R$219,10,FALSE)))</f>
        <v>46260</v>
      </c>
      <c r="G28" s="136"/>
      <c r="I28" s="139" t="str">
        <f t="shared" si="6"/>
        <v>-</v>
      </c>
      <c r="J28" s="139" t="str">
        <f t="shared" si="7"/>
        <v>-</v>
      </c>
      <c r="K28" s="139" t="str">
        <f t="shared" si="8"/>
        <v>-</v>
      </c>
      <c r="O28" s="136"/>
      <c r="Q28" s="139" t="str">
        <f t="shared" si="9"/>
        <v>SAMU73</v>
      </c>
      <c r="R28" s="145">
        <f>IF(C30="-",0,MAX(1,IF(C30*(1-D30)&lt;'B. Mode d''emploi et Paramètres'!$J$9,1,'B. Mode d''emploi et Paramètres'!$K$9+'B. Mode d''emploi et Paramètres'!$L$9*C30*(1-D30))))</f>
        <v>1.1351795443192292</v>
      </c>
      <c r="S28" s="145">
        <f>IF(E30="-",0,MAX(1,IF(E30&lt;'B. Mode d''emploi et Paramètres'!$J$10,1,'B. Mode d''emploi et Paramètres'!$K$10+'B. Mode d''emploi et Paramètres'!$L$10*E30)))</f>
        <v>2.8677766215994929</v>
      </c>
      <c r="T28" s="145">
        <f t="shared" si="10"/>
        <v>0</v>
      </c>
      <c r="U28" s="145">
        <f t="shared" si="11"/>
        <v>1</v>
      </c>
      <c r="V28" s="146">
        <f t="shared" si="12"/>
        <v>0.25</v>
      </c>
      <c r="W28" s="145">
        <f t="shared" si="13"/>
        <v>1</v>
      </c>
      <c r="X28" s="145">
        <f>IF(R28="-","-",VLOOKUP(Q28,'Onglet technique'!$B$117:$R$219,17,FALSE))</f>
        <v>1</v>
      </c>
    </row>
    <row r="29" spans="2:24" x14ac:dyDescent="0.25">
      <c r="B29" s="139" t="str">
        <f t="shared" si="14"/>
        <v>SAMU69</v>
      </c>
      <c r="C29" s="139">
        <f>IF(B16="-","-",IF($D$5="Saisie manuelle",C16,VLOOKUP(B29,'Onglet technique'!$B$117:$R$219,8,FALSE)))</f>
        <v>245913</v>
      </c>
      <c r="D29" s="147">
        <f>IF(B16="-","-",IF($D$5="Saisie manuelle",D16,VLOOKUP($B29,'Onglet technique'!$B$117:$R$219,11,FALSE)))</f>
        <v>0.48780487804878048</v>
      </c>
      <c r="E29" s="139">
        <f>IF(B16="-","-",IF($D$5="Saisie manuelle",E16,VLOOKUP($B29,'Onglet technique'!$B$117:$R$219,10,FALSE)))</f>
        <v>374143</v>
      </c>
      <c r="G29" s="136"/>
      <c r="L29" s="158" t="s">
        <v>607</v>
      </c>
      <c r="M29" s="159">
        <f>SUM(K19:K28)</f>
        <v>315111.43768444197</v>
      </c>
      <c r="O29" s="136"/>
      <c r="Q29" s="139" t="str">
        <f t="shared" si="9"/>
        <v>SAMU74</v>
      </c>
      <c r="R29" s="145">
        <f>IF(C31="-",0,MAX(1,IF(C31*(1-D31)&lt;'B. Mode d''emploi et Paramètres'!$J$9,1,'B. Mode d''emploi et Paramètres'!$K$9+'B. Mode d''emploi et Paramètres'!$L$9*C31*(1-D31))))</f>
        <v>1.7247195965463371</v>
      </c>
      <c r="S29" s="145">
        <f>IF(E31="-",0,MAX(1,IF(E31&lt;'B. Mode d''emploi et Paramètres'!$J$10,1,'B. Mode d''emploi et Paramètres'!$K$10+'B. Mode d''emploi et Paramètres'!$L$10*E31)))</f>
        <v>3.8430397145347288</v>
      </c>
      <c r="T29" s="145">
        <f t="shared" si="10"/>
        <v>3</v>
      </c>
      <c r="U29" s="145">
        <f t="shared" si="11"/>
        <v>2</v>
      </c>
      <c r="V29" s="146">
        <f t="shared" si="12"/>
        <v>0.5</v>
      </c>
      <c r="W29" s="145">
        <f t="shared" si="13"/>
        <v>1</v>
      </c>
      <c r="X29" s="145">
        <f>IF(R29="-","-",VLOOKUP(Q29,'Onglet technique'!$B$117:$R$219,17,FALSE))</f>
        <v>1</v>
      </c>
    </row>
    <row r="30" spans="2:24" x14ac:dyDescent="0.25">
      <c r="B30" s="139" t="str">
        <f t="shared" si="14"/>
        <v>SAMU73</v>
      </c>
      <c r="C30" s="139">
        <f>IF(B17="-","-",IF($D$5="Saisie manuelle",C17,VLOOKUP(B30,'Onglet technique'!$B$117:$R$219,8,FALSE)))</f>
        <v>89562</v>
      </c>
      <c r="D30" s="147">
        <f>IF(B17="-","-",IF($D$5="Saisie manuelle",D17,VLOOKUP($B30,'Onglet technique'!$B$117:$R$219,11,FALSE)))</f>
        <v>0.29249011857707508</v>
      </c>
      <c r="E30" s="139">
        <f>IF(B17="-","-",IF($D$5="Saisie manuelle",E17,VLOOKUP($B30,'Onglet technique'!$B$117:$R$219,10,FALSE)))</f>
        <v>103022</v>
      </c>
      <c r="G30" s="136"/>
      <c r="O30" s="136"/>
      <c r="Q30" s="139" t="str">
        <f t="shared" si="9"/>
        <v>-</v>
      </c>
      <c r="R30" s="145">
        <f>IF(C32="-",0,MAX(1,IF(C32*(1-D32)&lt;'B. Mode d''emploi et Paramètres'!$J$9,1,'B. Mode d''emploi et Paramètres'!$K$9+'B. Mode d''emploi et Paramètres'!$L$9*C32*(1-D32))))</f>
        <v>0</v>
      </c>
      <c r="S30" s="145">
        <f>IF(E32="-",0,MAX(1,IF(E32&lt;'B. Mode d''emploi et Paramètres'!$J$10,1,'B. Mode d''emploi et Paramètres'!$K$10+'B. Mode d''emploi et Paramètres'!$L$10*E32)))</f>
        <v>0</v>
      </c>
      <c r="T30" s="145">
        <f t="shared" si="10"/>
        <v>0</v>
      </c>
      <c r="U30" s="145">
        <f t="shared" si="11"/>
        <v>0</v>
      </c>
      <c r="V30" s="146">
        <f t="shared" si="12"/>
        <v>0</v>
      </c>
      <c r="W30" s="145">
        <f t="shared" si="13"/>
        <v>0</v>
      </c>
      <c r="X30" s="145">
        <f>IF(R30="-","-",VLOOKUP(Q30,'Onglet technique'!$B$117:$R$219,17,FALSE))</f>
        <v>0</v>
      </c>
    </row>
    <row r="31" spans="2:24" ht="15.75" x14ac:dyDescent="0.25">
      <c r="B31" s="139" t="str">
        <f t="shared" si="14"/>
        <v>SAMU74</v>
      </c>
      <c r="C31" s="139">
        <f>IF(B18="-","-",IF($D$5="Saisie manuelle",C18,VLOOKUP(B31,'Onglet technique'!$B$117:$R$219,8,FALSE)))</f>
        <v>156033</v>
      </c>
      <c r="D31" s="147">
        <f>IF(B18="-","-",IF($D$5="Saisie manuelle",D18,VLOOKUP($B31,'Onglet technique'!$B$117:$R$219,11,FALSE)))</f>
        <v>0.27894736842105261</v>
      </c>
      <c r="E31" s="139">
        <f>IF(B18="-","-",IF($D$5="Saisie manuelle",E18,VLOOKUP($B31,'Onglet technique'!$B$117:$R$219,10,FALSE)))</f>
        <v>156033</v>
      </c>
      <c r="G31" s="136"/>
      <c r="I31" s="134" t="s">
        <v>587</v>
      </c>
      <c r="O31" s="136"/>
    </row>
    <row r="32" spans="2:24" ht="30" x14ac:dyDescent="0.25">
      <c r="B32" s="139" t="str">
        <f t="shared" si="14"/>
        <v>-</v>
      </c>
      <c r="C32" s="139" t="str">
        <f>IF(B19="-","-",IF($D$5="Saisie manuelle",C19,VLOOKUP(B32,'Onglet technique'!$B$117:$R$219,8,FALSE)))</f>
        <v>-</v>
      </c>
      <c r="D32" s="147" t="str">
        <f>IF(B19="-","-",IF($D$5="Saisie manuelle",D19,VLOOKUP($B32,'Onglet technique'!$B$117:$R$219,11,FALSE)))</f>
        <v>-</v>
      </c>
      <c r="E32" s="139" t="str">
        <f>IF(B19="-","-",IF($D$5="Saisie manuelle",E19,VLOOKUP($B32,'Onglet technique'!$B$117:$R$219,10,FALSE)))</f>
        <v>-</v>
      </c>
      <c r="F32" s="148"/>
      <c r="G32" s="136"/>
      <c r="I32" s="137" t="s">
        <v>523</v>
      </c>
      <c r="J32" s="137" t="s">
        <v>560</v>
      </c>
      <c r="K32" s="137" t="s">
        <v>610</v>
      </c>
      <c r="L32" s="138" t="s">
        <v>611</v>
      </c>
      <c r="M32" s="138" t="s">
        <v>603</v>
      </c>
      <c r="O32" s="136"/>
      <c r="Q32" s="134" t="s">
        <v>599</v>
      </c>
    </row>
    <row r="33" spans="2:24" x14ac:dyDescent="0.25">
      <c r="G33" s="136"/>
      <c r="I33" s="139" t="str">
        <f>R8</f>
        <v>SAMU01</v>
      </c>
      <c r="J33" s="139">
        <f>+J5</f>
        <v>0</v>
      </c>
      <c r="K33" s="147">
        <f>+IF(I33="-","-",VLOOKUP(I33,'Onglet technique'!$B$117:$V$219,19,FALSE))</f>
        <v>0</v>
      </c>
      <c r="L33" s="139">
        <f>+IF(I33="-","-",VLOOKUP(I33,'Onglet technique'!$B$117:$V$219,21,FALSE)/(1+K33)*(E36+K5+L5+K19))</f>
        <v>0</v>
      </c>
      <c r="M33" s="139">
        <f>IF(I33="-","-",IF(J33="Oui",0,E36*0.0236431600105701))</f>
        <v>42688.76718192517</v>
      </c>
      <c r="O33" s="136"/>
      <c r="Q33" s="137" t="s">
        <v>523</v>
      </c>
      <c r="R33" s="137" t="s">
        <v>517</v>
      </c>
      <c r="S33" s="137" t="s">
        <v>518</v>
      </c>
      <c r="T33" s="137" t="s">
        <v>519</v>
      </c>
      <c r="U33" s="137" t="s">
        <v>520</v>
      </c>
      <c r="V33" s="137" t="s">
        <v>521</v>
      </c>
      <c r="W33" s="137" t="s">
        <v>522</v>
      </c>
      <c r="X33" s="137" t="s">
        <v>529</v>
      </c>
    </row>
    <row r="34" spans="2:24" ht="15.75" x14ac:dyDescent="0.25">
      <c r="B34" s="134" t="s">
        <v>516</v>
      </c>
      <c r="C34" s="194" t="s">
        <v>569</v>
      </c>
      <c r="D34" s="195"/>
      <c r="E34" s="196"/>
      <c r="G34" s="136"/>
      <c r="I34" s="139" t="str">
        <f t="shared" ref="I34:I42" si="15">R9</f>
        <v>SAMU07</v>
      </c>
      <c r="J34" s="139">
        <f t="shared" ref="J34:J42" si="16">+J6</f>
        <v>0</v>
      </c>
      <c r="K34" s="147">
        <f>+IF(I34="-","-",VLOOKUP(I34,'Onglet technique'!$B$117:$V$219,19,FALSE))</f>
        <v>0</v>
      </c>
      <c r="L34" s="139">
        <f>+IF(I34="-","-",VLOOKUP(I34,'Onglet technique'!$B$117:$V$219,21,FALSE)/(1+K34)*(E37+K6+L6+K20))</f>
        <v>0</v>
      </c>
      <c r="M34" s="139">
        <f t="shared" ref="M34:M42" si="17">IF(I34="-","-",IF(J34="Oui",0,E37*0.0236431600105701))</f>
        <v>39128.951226388439</v>
      </c>
      <c r="O34" s="136"/>
      <c r="Q34" s="139" t="str">
        <f t="shared" ref="Q34:Q43" si="18">R8</f>
        <v>SAMU01</v>
      </c>
      <c r="R34" s="139">
        <f>IF(Q34="-","-",(R21*'B. Mode d''emploi et Paramètres'!$J$25)*(1+T8))</f>
        <v>700000</v>
      </c>
      <c r="S34" s="139">
        <f>IF(Q34="-","-",(S21*'B. Mode d''emploi et Paramètres'!$J$27)*(1+T8))</f>
        <v>716123.06544184778</v>
      </c>
      <c r="T34" s="139">
        <f>IF(Q34="-","-",(T21*'B. Mode d''emploi et Paramètres'!$J$28)*(1+T8))</f>
        <v>0</v>
      </c>
      <c r="U34" s="139">
        <f>IF(Q34="-","-",(U21*'B. Mode d''emploi et Paramètres'!$J$29)*(1+T8))</f>
        <v>34366</v>
      </c>
      <c r="V34" s="139">
        <f>IF(Q34="-","-",(V21*'B. Mode d''emploi et Paramètres'!$J$30)*(1+T8))</f>
        <v>10656.25</v>
      </c>
      <c r="W34" s="139">
        <f>IF(Q34="-","-",(W21*'B. Mode d''emploi et Paramètres'!$J$31)*(1+T8))</f>
        <v>58893</v>
      </c>
      <c r="X34" s="139">
        <f>IF(R34="-","-",(X21*'B. Mode d''emploi et Paramètres'!$J$26)*(1+T8))</f>
        <v>50000</v>
      </c>
    </row>
    <row r="35" spans="2:24" x14ac:dyDescent="0.25">
      <c r="B35" s="137" t="s">
        <v>423</v>
      </c>
      <c r="C35" s="137" t="s">
        <v>510</v>
      </c>
      <c r="D35" s="137" t="s">
        <v>471</v>
      </c>
      <c r="E35" s="137" t="s">
        <v>511</v>
      </c>
      <c r="G35" s="136"/>
      <c r="I35" s="139" t="str">
        <f t="shared" si="15"/>
        <v>SAMU26</v>
      </c>
      <c r="J35" s="139">
        <f t="shared" si="16"/>
        <v>0</v>
      </c>
      <c r="K35" s="147">
        <f>+IF(I35="-","-",VLOOKUP(I35,'Onglet technique'!$B$117:$V$219,19,FALSE))</f>
        <v>0</v>
      </c>
      <c r="L35" s="139">
        <f>+IF(I35="-","-",VLOOKUP(I35,'Onglet technique'!$B$117:$V$219,21,FALSE)/(1+K35)*(E38+K7+L7+K21))</f>
        <v>0</v>
      </c>
      <c r="M35" s="139">
        <f t="shared" si="17"/>
        <v>44444.612444500948</v>
      </c>
      <c r="O35" s="136"/>
      <c r="Q35" s="139" t="str">
        <f t="shared" si="18"/>
        <v>SAMU07</v>
      </c>
      <c r="R35" s="139">
        <f>IF(Q35="-","-",(R22*'B. Mode d''emploi et Paramètres'!$J$25)*(1+T9))</f>
        <v>700000</v>
      </c>
      <c r="S35" s="139">
        <f>IF(Q35="-","-",(S22*'B. Mode d''emploi et Paramètres'!$J$27)*(1+T9))</f>
        <v>585197.58281323814</v>
      </c>
      <c r="T35" s="139">
        <f>IF(Q35="-","-",(T22*'B. Mode d''emploi et Paramètres'!$J$28)*(1+T9))</f>
        <v>0</v>
      </c>
      <c r="U35" s="139">
        <f>IF(Q35="-","-",(U22*'B. Mode d''emploi et Paramètres'!$J$29)*(1+T9))</f>
        <v>34366</v>
      </c>
      <c r="V35" s="139">
        <f>IF(Q35="-","-",(V22*'B. Mode d''emploi et Paramètres'!$J$30)*(1+T9))</f>
        <v>10656.25</v>
      </c>
      <c r="W35" s="139">
        <f>IF(Q35="-","-",(W22*'B. Mode d''emploi et Paramètres'!$J$31)*(1+T9))</f>
        <v>58893</v>
      </c>
      <c r="X35" s="139">
        <f>IF(R35="-","-",(X22*'B. Mode d''emploi et Paramètres'!$J$26)*(1+T9))</f>
        <v>50000</v>
      </c>
    </row>
    <row r="36" spans="2:24" x14ac:dyDescent="0.25">
      <c r="B36" s="139" t="str">
        <f t="shared" ref="B36:B45" si="19">R8</f>
        <v>SAMU01</v>
      </c>
      <c r="C36" s="139">
        <f t="shared" ref="C36:C45" si="20">IF(B36="-","-",SUM(R34:X34))</f>
        <v>1570038.3154418478</v>
      </c>
      <c r="D36" s="139">
        <f t="shared" ref="D36:D45" si="21">IF(B36="-","-",C36*U8)</f>
        <v>235505.74731627715</v>
      </c>
      <c r="E36" s="139">
        <f>IF(B36="-","-",SUM(C36:D36))</f>
        <v>1805544.0627581249</v>
      </c>
      <c r="G36" s="136"/>
      <c r="I36" s="139" t="str">
        <f t="shared" si="15"/>
        <v>SAMU38</v>
      </c>
      <c r="J36" s="139">
        <f t="shared" si="16"/>
        <v>0</v>
      </c>
      <c r="K36" s="147">
        <f>+IF(I36="-","-",VLOOKUP(I36,'Onglet technique'!$B$117:$V$219,19,FALSE))</f>
        <v>0</v>
      </c>
      <c r="L36" s="139">
        <f>+IF(I36="-","-",VLOOKUP(I36,'Onglet technique'!$B$117:$V$219,21,FALSE)/(1+K36)*(E39+K8+L8+K22))</f>
        <v>0</v>
      </c>
      <c r="M36" s="139">
        <f t="shared" si="17"/>
        <v>65001.373518235407</v>
      </c>
      <c r="O36" s="136"/>
      <c r="Q36" s="139" t="str">
        <f t="shared" si="18"/>
        <v>SAMU26</v>
      </c>
      <c r="R36" s="139">
        <f>IF(Q36="-","-",(R23*'B. Mode d''emploi et Paramètres'!$J$25)*(1+T10))</f>
        <v>864149.38989019254</v>
      </c>
      <c r="S36" s="139">
        <f>IF(Q36="-","-",(S23*'B. Mode d''emploi et Paramètres'!$J$27)*(1+T10))</f>
        <v>616551.42094502086</v>
      </c>
      <c r="T36" s="139">
        <f>IF(Q36="-","-",(T23*'B. Mode d''emploi et Paramètres'!$J$28)*(1+T10))</f>
        <v>0</v>
      </c>
      <c r="U36" s="139">
        <f>IF(Q36="-","-",(U23*'B. Mode d''emploi et Paramètres'!$J$29)*(1+T10))</f>
        <v>34366</v>
      </c>
      <c r="V36" s="139">
        <f>IF(Q36="-","-",(V23*'B. Mode d''emploi et Paramètres'!$J$30)*(1+T10))</f>
        <v>10656.25</v>
      </c>
      <c r="W36" s="139">
        <f>IF(Q36="-","-",(W23*'B. Mode d''emploi et Paramètres'!$J$31)*(1+T10))</f>
        <v>58893</v>
      </c>
      <c r="X36" s="139">
        <f>IF(R36="-","-",(X23*'B. Mode d''emploi et Paramètres'!$J$26)*(1+T10))</f>
        <v>50000</v>
      </c>
    </row>
    <row r="37" spans="2:24" x14ac:dyDescent="0.25">
      <c r="B37" s="139" t="str">
        <f t="shared" si="19"/>
        <v>SAMU07</v>
      </c>
      <c r="C37" s="139">
        <f t="shared" si="20"/>
        <v>1439112.8328132383</v>
      </c>
      <c r="D37" s="139">
        <f t="shared" si="21"/>
        <v>215866.92492198574</v>
      </c>
      <c r="E37" s="139">
        <f t="shared" ref="E37:E45" si="22">IF(B37="-","-",SUM(C37:D37))</f>
        <v>1654979.757735224</v>
      </c>
      <c r="G37" s="136"/>
      <c r="I37" s="139" t="str">
        <f t="shared" si="15"/>
        <v>SAMU42A</v>
      </c>
      <c r="J37" s="139" t="str">
        <f t="shared" si="16"/>
        <v>Oui</v>
      </c>
      <c r="K37" s="147">
        <f>+IF(I37="-","-",VLOOKUP(I37,'Onglet technique'!$B$117:$V$219,19,FALSE))</f>
        <v>0</v>
      </c>
      <c r="L37" s="139">
        <f>+IF(I37="-","-",VLOOKUP(I37,'Onglet technique'!$B$117:$V$219,21,FALSE)/(1+K37)*(E40+K9+L9+K23))</f>
        <v>0</v>
      </c>
      <c r="M37" s="139">
        <f t="shared" si="17"/>
        <v>0</v>
      </c>
      <c r="O37" s="136"/>
      <c r="Q37" s="139" t="str">
        <f t="shared" si="18"/>
        <v>SAMU38</v>
      </c>
      <c r="R37" s="139">
        <f>IF(Q37="-","-",(R24*'B. Mode d''emploi et Paramètres'!$J$25)*(1+T11))</f>
        <v>830564.54012332507</v>
      </c>
      <c r="S37" s="139">
        <f>IF(Q37="-","-",(S24*'B. Mode d''emploi et Paramètres'!$J$27)*(1+T11))</f>
        <v>1164244.6632677605</v>
      </c>
      <c r="T37" s="139">
        <f>IF(Q37="-","-",(T24*'B. Mode d''emploi et Paramètres'!$J$28)*(1+T11))</f>
        <v>163238.5</v>
      </c>
      <c r="U37" s="139">
        <f>IF(Q37="-","-",(U24*'B. Mode d''emploi et Paramètres'!$J$29)*(1+T11))</f>
        <v>51549</v>
      </c>
      <c r="V37" s="139">
        <f>IF(Q37="-","-",(V24*'B. Mode d''emploi et Paramètres'!$J$30)*(1+T11))</f>
        <v>21312.5</v>
      </c>
      <c r="W37" s="139">
        <f>IF(Q37="-","-",(W24*'B. Mode d''emploi et Paramètres'!$J$31)*(1+T11))</f>
        <v>58893</v>
      </c>
      <c r="X37" s="139">
        <f>IF(R37="-","-",(X24*'B. Mode d''emploi et Paramètres'!$J$26)*(1+T11))</f>
        <v>50000</v>
      </c>
    </row>
    <row r="38" spans="2:24" x14ac:dyDescent="0.25">
      <c r="B38" s="139" t="str">
        <f t="shared" si="19"/>
        <v>SAMU26</v>
      </c>
      <c r="C38" s="139">
        <f t="shared" si="20"/>
        <v>1634616.0608352134</v>
      </c>
      <c r="D38" s="139">
        <f t="shared" si="21"/>
        <v>245192.40912528199</v>
      </c>
      <c r="E38" s="139">
        <f t="shared" si="22"/>
        <v>1879808.4699604954</v>
      </c>
      <c r="G38" s="136"/>
      <c r="I38" s="139" t="str">
        <f t="shared" si="15"/>
        <v>SAMU42B</v>
      </c>
      <c r="J38" s="139" t="str">
        <f t="shared" si="16"/>
        <v>Oui</v>
      </c>
      <c r="K38" s="147">
        <f>+IF(I38="-","-",VLOOKUP(I38,'Onglet technique'!$B$117:$V$219,19,FALSE))</f>
        <v>0</v>
      </c>
      <c r="L38" s="139">
        <f>+IF(I38="-","-",VLOOKUP(I38,'Onglet technique'!$B$117:$V$219,21,FALSE)/(1+K38)*(E41+K10+L10+K24))</f>
        <v>0</v>
      </c>
      <c r="M38" s="139">
        <f t="shared" si="17"/>
        <v>0</v>
      </c>
      <c r="O38" s="136"/>
      <c r="Q38" s="139" t="str">
        <f t="shared" si="18"/>
        <v>SAMU42A</v>
      </c>
      <c r="R38" s="139">
        <f>IF(Q38="-","-",(R25*'B. Mode d''emploi et Paramètres'!$J$25)*(1+T12))</f>
        <v>700000</v>
      </c>
      <c r="S38" s="139">
        <f>IF(Q38="-","-",(S25*'B. Mode d''emploi et Paramètres'!$J$27)*(1+T12))</f>
        <v>683575.65099149931</v>
      </c>
      <c r="T38" s="139">
        <f>IF(Q38="-","-",(T25*'B. Mode d''emploi et Paramètres'!$J$28)*(1+T12))</f>
        <v>0</v>
      </c>
      <c r="U38" s="139">
        <f>IF(Q38="-","-",(U25*'B. Mode d''emploi et Paramètres'!$J$29)*(1+T12))</f>
        <v>34366</v>
      </c>
      <c r="V38" s="139">
        <f>IF(Q38="-","-",(V25*'B. Mode d''emploi et Paramètres'!$J$30)*(1+T12))</f>
        <v>10656.25</v>
      </c>
      <c r="W38" s="139">
        <f>IF(Q38="-","-",(W25*'B. Mode d''emploi et Paramètres'!$J$31)*(1+T12))</f>
        <v>58893</v>
      </c>
      <c r="X38" s="139">
        <f>IF(R38="-","-",(X25*'B. Mode d''emploi et Paramètres'!$J$26)*(1+T12))</f>
        <v>25000</v>
      </c>
    </row>
    <row r="39" spans="2:24" x14ac:dyDescent="0.25">
      <c r="B39" s="139" t="str">
        <f t="shared" si="19"/>
        <v>SAMU38</v>
      </c>
      <c r="C39" s="139">
        <f t="shared" si="20"/>
        <v>2339802.2033910854</v>
      </c>
      <c r="D39" s="139">
        <f t="shared" si="21"/>
        <v>409465.38559343992</v>
      </c>
      <c r="E39" s="139">
        <f t="shared" si="22"/>
        <v>2749267.5889845253</v>
      </c>
      <c r="G39" s="136"/>
      <c r="I39" s="139" t="str">
        <f t="shared" si="15"/>
        <v>SAMU69</v>
      </c>
      <c r="J39" s="139">
        <f t="shared" si="16"/>
        <v>0</v>
      </c>
      <c r="K39" s="147">
        <f>+IF(I39="-","-",VLOOKUP(I39,'Onglet technique'!$B$117:$V$219,19,FALSE))</f>
        <v>0</v>
      </c>
      <c r="L39" s="139">
        <f>+IF(I39="-","-",VLOOKUP(I39,'Onglet technique'!$B$117:$V$219,21,FALSE)/(1+K39)*(E42+K11+L11+K25))</f>
        <v>0</v>
      </c>
      <c r="M39" s="139">
        <f t="shared" si="17"/>
        <v>98259.738840183156</v>
      </c>
      <c r="O39" s="136"/>
      <c r="Q39" s="139" t="str">
        <f t="shared" si="18"/>
        <v>SAMU42B</v>
      </c>
      <c r="R39" s="139">
        <f>IF(Q39="-","-",(R26*'B. Mode d''emploi et Paramètres'!$J$25)*(1+T13))</f>
        <v>700000</v>
      </c>
      <c r="S39" s="139">
        <f>IF(Q39="-","-",(S26*'B. Mode d''emploi et Paramètres'!$J$27)*(1+T13))</f>
        <v>424030.55539631174</v>
      </c>
      <c r="T39" s="139">
        <f>IF(Q39="-","-",(T26*'B. Mode d''emploi et Paramètres'!$J$28)*(1+T13))</f>
        <v>0</v>
      </c>
      <c r="U39" s="139">
        <f>IF(Q39="-","-",(U26*'B. Mode d''emploi et Paramètres'!$J$29)*(1+T13))</f>
        <v>17183</v>
      </c>
      <c r="V39" s="139">
        <f>IF(Q39="-","-",(V26*'B. Mode d''emploi et Paramètres'!$J$30)*(1+T13))</f>
        <v>10656.25</v>
      </c>
      <c r="W39" s="139">
        <f>IF(Q39="-","-",(W26*'B. Mode d''emploi et Paramètres'!$J$31)*(1+T13))</f>
        <v>58893</v>
      </c>
      <c r="X39" s="139">
        <f>IF(R39="-","-",(X26*'B. Mode d''emploi et Paramètres'!$J$26)*(1+T13))</f>
        <v>25000</v>
      </c>
    </row>
    <row r="40" spans="2:24" x14ac:dyDescent="0.25">
      <c r="B40" s="139" t="str">
        <f t="shared" si="19"/>
        <v>SAMU42A</v>
      </c>
      <c r="C40" s="139">
        <f t="shared" si="20"/>
        <v>1512490.9009914994</v>
      </c>
      <c r="D40" s="139">
        <f t="shared" si="21"/>
        <v>226873.63514872492</v>
      </c>
      <c r="E40" s="139">
        <f t="shared" si="22"/>
        <v>1739364.5361402244</v>
      </c>
      <c r="G40" s="136"/>
      <c r="I40" s="139" t="str">
        <f t="shared" si="15"/>
        <v>SAMU73</v>
      </c>
      <c r="J40" s="139">
        <f t="shared" si="16"/>
        <v>0</v>
      </c>
      <c r="K40" s="147">
        <f>+IF(I40="-","-",VLOOKUP(I40,'Onglet technique'!$B$117:$V$219,19,FALSE))</f>
        <v>0</v>
      </c>
      <c r="L40" s="139">
        <f>+IF(I40="-","-",VLOOKUP(I40,'Onglet technique'!$B$117:$V$219,21,FALSE)/(1+K40)*(E43+K12+L12+K26))</f>
        <v>0</v>
      </c>
      <c r="M40" s="139">
        <f t="shared" si="17"/>
        <v>43922.195565764159</v>
      </c>
      <c r="O40" s="136"/>
      <c r="Q40" s="139" t="str">
        <f t="shared" si="18"/>
        <v>SAMU69</v>
      </c>
      <c r="R40" s="139">
        <f>IF(Q40="-","-",(R27*'B. Mode d''emploi et Paramètres'!$J$25)*(1+T14))</f>
        <v>1320230.7447076947</v>
      </c>
      <c r="S40" s="139">
        <f>IF(Q40="-","-",(S27*'B. Mode d''emploi et Paramètres'!$J$27)*(1+T14))</f>
        <v>1826730.8566875297</v>
      </c>
      <c r="T40" s="139">
        <f>IF(Q40="-","-",(T27*'B. Mode d''emploi et Paramètres'!$J$28)*(1+T14))</f>
        <v>163238.5</v>
      </c>
      <c r="U40" s="139">
        <f>IF(Q40="-","-",(U27*'B. Mode d''emploi et Paramètres'!$J$29)*(1+T14))</f>
        <v>85915</v>
      </c>
      <c r="V40" s="139">
        <f>IF(Q40="-","-",(V27*'B. Mode d''emploi et Paramètres'!$J$30)*(1+T14))</f>
        <v>31968.75</v>
      </c>
      <c r="W40" s="139">
        <f>IF(Q40="-","-",(W27*'B. Mode d''emploi et Paramètres'!$J$31)*(1+T14))</f>
        <v>58893</v>
      </c>
      <c r="X40" s="139">
        <f>IF(R40="-","-",(X27*'B. Mode d''emploi et Paramètres'!$J$26)*(1+T14))</f>
        <v>50000</v>
      </c>
    </row>
    <row r="41" spans="2:24" x14ac:dyDescent="0.25">
      <c r="B41" s="139" t="str">
        <f t="shared" si="19"/>
        <v>SAMU42B</v>
      </c>
      <c r="C41" s="139">
        <f t="shared" si="20"/>
        <v>1235762.8053963117</v>
      </c>
      <c r="D41" s="139">
        <f t="shared" si="21"/>
        <v>154470.35067453896</v>
      </c>
      <c r="E41" s="139">
        <f t="shared" si="22"/>
        <v>1390233.1560708506</v>
      </c>
      <c r="G41" s="136"/>
      <c r="I41" s="139" t="str">
        <f t="shared" si="15"/>
        <v>SAMU74</v>
      </c>
      <c r="J41" s="139">
        <f t="shared" si="16"/>
        <v>0</v>
      </c>
      <c r="K41" s="147">
        <f>+IF(I41="-","-",VLOOKUP(I41,'Onglet technique'!$B$117:$V$219,19,FALSE))</f>
        <v>0</v>
      </c>
      <c r="L41" s="139">
        <f>+IF(I41="-","-",VLOOKUP(I41,'Onglet technique'!$B$117:$V$219,21,FALSE)/(1+K41)*(E44+K13+L13+K27))</f>
        <v>0</v>
      </c>
      <c r="M41" s="139">
        <f t="shared" si="17"/>
        <v>66971.461855705697</v>
      </c>
      <c r="O41" s="136"/>
      <c r="Q41" s="139" t="str">
        <f t="shared" si="18"/>
        <v>SAMU73</v>
      </c>
      <c r="R41" s="139">
        <f>IF(Q41="-","-",(R28*'B. Mode d''emploi et Paramètres'!$J$25)*(1+T15))</f>
        <v>794625.68102346046</v>
      </c>
      <c r="S41" s="139">
        <f>IF(Q41="-","-",(S28*'B. Mode d''emploi et Paramètres'!$J$27)*(1+T15))</f>
        <v>666861.30448025966</v>
      </c>
      <c r="T41" s="139">
        <f>IF(Q41="-","-",(T28*'B. Mode d''emploi et Paramètres'!$J$28)*(1+T15))</f>
        <v>0</v>
      </c>
      <c r="U41" s="139">
        <f>IF(Q41="-","-",(U28*'B. Mode d''emploi et Paramètres'!$J$29)*(1+T15))</f>
        <v>34366</v>
      </c>
      <c r="V41" s="139">
        <f>IF(Q41="-","-",(V28*'B. Mode d''emploi et Paramètres'!$J$30)*(1+T15))</f>
        <v>10656.25</v>
      </c>
      <c r="W41" s="139">
        <f>IF(Q41="-","-",(W28*'B. Mode d''emploi et Paramètres'!$J$31)*(1+T15))</f>
        <v>58893</v>
      </c>
      <c r="X41" s="139">
        <f>IF(R41="-","-",(X28*'B. Mode d''emploi et Paramètres'!$J$26)*(1+T15))</f>
        <v>50000</v>
      </c>
    </row>
    <row r="42" spans="2:24" x14ac:dyDescent="0.25">
      <c r="B42" s="139" t="str">
        <f t="shared" si="19"/>
        <v>SAMU69</v>
      </c>
      <c r="C42" s="139">
        <f t="shared" si="20"/>
        <v>3536976.8513952242</v>
      </c>
      <c r="D42" s="139">
        <f t="shared" si="21"/>
        <v>618970.94899416424</v>
      </c>
      <c r="E42" s="139">
        <f t="shared" si="22"/>
        <v>4155947.8003893886</v>
      </c>
      <c r="G42" s="136"/>
      <c r="I42" s="139" t="str">
        <f t="shared" si="15"/>
        <v>-</v>
      </c>
      <c r="J42" s="139" t="str">
        <f t="shared" si="16"/>
        <v>-</v>
      </c>
      <c r="K42" s="147" t="str">
        <f>+IF(I42="-","-",VLOOKUP(I42,'Onglet technique'!$B$117:$V$219,19,FALSE))</f>
        <v>-</v>
      </c>
      <c r="L42" s="139" t="str">
        <f>+IF(I42="-","-",VLOOKUP(I42,'Onglet technique'!$B$117:$V$219,21,FALSE)/(1+K42)*(E45+K14+L14+K28))</f>
        <v>-</v>
      </c>
      <c r="M42" s="139" t="str">
        <f t="shared" si="17"/>
        <v>-</v>
      </c>
      <c r="O42" s="136"/>
      <c r="Q42" s="139" t="str">
        <f t="shared" si="18"/>
        <v>SAMU74</v>
      </c>
      <c r="R42" s="139">
        <f>IF(Q42="-","-",(R29*'B. Mode d''emploi et Paramètres'!$J$25)*(1+T16))</f>
        <v>1207303.717582436</v>
      </c>
      <c r="S42" s="139">
        <f>IF(Q42="-","-",(S29*'B. Mode d''emploi et Paramètres'!$J$27)*(1+T16))</f>
        <v>893645.0830590477</v>
      </c>
      <c r="T42" s="139">
        <f>IF(Q42="-","-",(T29*'B. Mode d''emploi et Paramètres'!$J$28)*(1+T16))</f>
        <v>163238.5</v>
      </c>
      <c r="U42" s="139">
        <f>IF(Q42="-","-",(U29*'B. Mode d''emploi et Paramètres'!$J$29)*(1+T16))</f>
        <v>68732</v>
      </c>
      <c r="V42" s="139">
        <f>IF(Q42="-","-",(V29*'B. Mode d''emploi et Paramètres'!$J$30)*(1+T16))</f>
        <v>21312.5</v>
      </c>
      <c r="W42" s="139">
        <f>IF(Q42="-","-",(W29*'B. Mode d''emploi et Paramètres'!$J$31)*(1+T16))</f>
        <v>58893</v>
      </c>
      <c r="X42" s="139">
        <f>IF(R42="-","-",(X29*'B. Mode d''emploi et Paramètres'!$J$26)*(1+T16))</f>
        <v>50000</v>
      </c>
    </row>
    <row r="43" spans="2:24" x14ac:dyDescent="0.25">
      <c r="B43" s="139" t="str">
        <f t="shared" si="19"/>
        <v>SAMU73</v>
      </c>
      <c r="C43" s="139">
        <f t="shared" si="20"/>
        <v>1615402.2355037201</v>
      </c>
      <c r="D43" s="139">
        <f t="shared" si="21"/>
        <v>242310.335325558</v>
      </c>
      <c r="E43" s="139">
        <f t="shared" si="22"/>
        <v>1857712.5708292781</v>
      </c>
      <c r="G43" s="136"/>
      <c r="L43" s="158" t="s">
        <v>608</v>
      </c>
      <c r="M43" s="159">
        <f>SUM(L33:M42)</f>
        <v>400417.10063270299</v>
      </c>
      <c r="O43" s="136"/>
      <c r="Q43" s="139" t="str">
        <f t="shared" si="18"/>
        <v>-</v>
      </c>
      <c r="R43" s="139" t="str">
        <f>IF(Q43="-","-",(R30*'B. Mode d''emploi et Paramètres'!$J$25)*(1+T17))</f>
        <v>-</v>
      </c>
      <c r="S43" s="139" t="str">
        <f>IF(Q43="-","-",(S30*'B. Mode d''emploi et Paramètres'!$J$27)*(1+T17))</f>
        <v>-</v>
      </c>
      <c r="T43" s="139" t="str">
        <f>IF(Q43="-","-",(T30*'B. Mode d''emploi et Paramètres'!$J$28)*(1+T17))</f>
        <v>-</v>
      </c>
      <c r="U43" s="139" t="str">
        <f>IF(Q43="-","-",(U30*'B. Mode d''emploi et Paramètres'!$J$29)*(1+T17))</f>
        <v>-</v>
      </c>
      <c r="V43" s="139" t="str">
        <f>IF(Q43="-","-",(V30*'B. Mode d''emploi et Paramètres'!$J$30)*(1+T17))</f>
        <v>-</v>
      </c>
      <c r="W43" s="139" t="str">
        <f>IF(Q43="-","-",(W30*'B. Mode d''emploi et Paramètres'!$J$31)*(1+T17))</f>
        <v>-</v>
      </c>
      <c r="X43" s="139" t="str">
        <f>IF(R43="-","-",(X30*'B. Mode d''emploi et Paramètres'!$J$26)*(1+T17))</f>
        <v>-</v>
      </c>
    </row>
    <row r="44" spans="2:24" ht="15.75" thickBot="1" x14ac:dyDescent="0.3">
      <c r="B44" s="139" t="str">
        <f t="shared" si="19"/>
        <v>SAMU74</v>
      </c>
      <c r="C44" s="139">
        <f t="shared" si="20"/>
        <v>2463124.8006414836</v>
      </c>
      <c r="D44" s="139">
        <f t="shared" si="21"/>
        <v>369468.72009622253</v>
      </c>
      <c r="E44" s="139">
        <f t="shared" si="22"/>
        <v>2832593.5207377062</v>
      </c>
      <c r="G44" s="136"/>
      <c r="O44" s="136"/>
    </row>
    <row r="45" spans="2:24" ht="15.75" thickBot="1" x14ac:dyDescent="0.3">
      <c r="B45" s="139" t="str">
        <f t="shared" si="19"/>
        <v>-</v>
      </c>
      <c r="C45" s="139" t="str">
        <f t="shared" si="20"/>
        <v>-</v>
      </c>
      <c r="D45" s="139" t="str">
        <f t="shared" si="21"/>
        <v>-</v>
      </c>
      <c r="E45" s="139" t="str">
        <f t="shared" si="22"/>
        <v>-</v>
      </c>
      <c r="G45" s="136"/>
      <c r="L45" s="144" t="s">
        <v>609</v>
      </c>
      <c r="M45" s="181">
        <f>+E46+M15+M29+M43</f>
        <v>22015827.2942666</v>
      </c>
      <c r="O45" s="136"/>
    </row>
    <row r="46" spans="2:24" x14ac:dyDescent="0.25">
      <c r="D46" s="158" t="s">
        <v>532</v>
      </c>
      <c r="E46" s="159">
        <f>SUM(E36:E45)</f>
        <v>20065451.463605817</v>
      </c>
      <c r="G46" s="136"/>
      <c r="O46" s="136"/>
    </row>
    <row r="47" spans="2:24" ht="15.75" x14ac:dyDescent="0.25">
      <c r="B47" s="149"/>
      <c r="G47" s="136"/>
      <c r="O47" s="136"/>
    </row>
    <row r="48" spans="2:24" x14ac:dyDescent="0.25">
      <c r="G48" s="136"/>
      <c r="O48" s="136"/>
    </row>
    <row r="49" spans="7:15" x14ac:dyDescent="0.25">
      <c r="G49" s="136"/>
      <c r="O49" s="136"/>
    </row>
  </sheetData>
  <sheetProtection sheet="1" objects="1" scenarios="1"/>
  <mergeCells count="2">
    <mergeCell ref="C21:E21"/>
    <mergeCell ref="C34:E34"/>
  </mergeCells>
  <dataValidations count="2">
    <dataValidation type="list" allowBlank="1" showInputMessage="1" showErrorMessage="1" sqref="C3">
      <formula1>REGIONS</formula1>
    </dataValidation>
    <dataValidation type="list" allowBlank="1" showInputMessage="1" showErrorMessage="1" sqref="D5">
      <formula1>DONNEES_UTILISEES</formula1>
    </dataValidation>
  </dataValidations>
  <pageMargins left="0.7" right="0.7" top="0.75" bottom="0.75" header="0.3" footer="0.3"/>
  <pageSetup paperSize="9" scale="54"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219"/>
  <sheetViews>
    <sheetView topLeftCell="G109" zoomScale="80" zoomScaleNormal="80" workbookViewId="0">
      <selection activeCell="B117" sqref="B117:T117"/>
    </sheetView>
  </sheetViews>
  <sheetFormatPr baseColWidth="10" defaultRowHeight="15" outlineLevelRow="1" x14ac:dyDescent="0.25"/>
  <cols>
    <col min="1" max="1" width="1.42578125" style="1" customWidth="1"/>
    <col min="2" max="2" width="36.140625" style="1" bestFit="1" customWidth="1"/>
    <col min="3" max="3" width="7.28515625" style="1" customWidth="1"/>
    <col min="4" max="4" width="25" style="1" customWidth="1"/>
    <col min="5" max="5" width="21.42578125" style="1" bestFit="1" customWidth="1"/>
    <col min="6" max="6" width="27.7109375" style="1" bestFit="1" customWidth="1"/>
    <col min="7" max="11" width="26.140625" style="1" bestFit="1" customWidth="1"/>
    <col min="12" max="12" width="9.85546875" style="1" customWidth="1"/>
    <col min="13" max="13" width="15.140625" style="1" bestFit="1" customWidth="1"/>
    <col min="14" max="14" width="17" style="1" customWidth="1"/>
    <col min="15" max="15" width="15.140625" style="1" bestFit="1" customWidth="1"/>
    <col min="16" max="16" width="15.85546875" style="1" bestFit="1" customWidth="1"/>
    <col min="17" max="18" width="9.85546875" style="1" customWidth="1"/>
    <col min="19" max="19" width="9.42578125" style="1" customWidth="1"/>
    <col min="20" max="20" width="17.42578125" style="1" customWidth="1"/>
    <col min="21" max="21" width="12.42578125" style="1" bestFit="1" customWidth="1"/>
    <col min="22" max="22" width="16.42578125" style="1" customWidth="1"/>
    <col min="23" max="23" width="11.7109375" style="1" bestFit="1" customWidth="1"/>
    <col min="24" max="24" width="16.28515625" style="1" customWidth="1"/>
    <col min="25" max="25" width="14.85546875" style="1" bestFit="1" customWidth="1"/>
    <col min="26" max="26" width="16" style="1" customWidth="1"/>
    <col min="27" max="27" width="22.28515625" style="1" customWidth="1"/>
    <col min="28" max="28" width="20.5703125" style="1" customWidth="1"/>
    <col min="29" max="29" width="9.85546875" style="1" customWidth="1"/>
    <col min="30" max="30" width="16.28515625" style="1" customWidth="1"/>
    <col min="31" max="101" width="9.85546875" style="1" customWidth="1"/>
    <col min="102" max="103" width="12.5703125" style="1" customWidth="1"/>
    <col min="104" max="104" width="12.5703125" style="1" bestFit="1" customWidth="1"/>
    <col min="105" max="16384" width="11.42578125" style="1"/>
  </cols>
  <sheetData>
    <row r="1" spans="1:104" s="31" customFormat="1" ht="18.75" x14ac:dyDescent="0.3">
      <c r="A1" s="30" t="s">
        <v>429</v>
      </c>
      <c r="E1" s="32"/>
    </row>
    <row r="2" spans="1:104" s="34" customFormat="1" x14ac:dyDescent="0.25">
      <c r="A2" s="33"/>
      <c r="B2" s="34" t="s">
        <v>596</v>
      </c>
    </row>
    <row r="4" spans="1:104" x14ac:dyDescent="0.25">
      <c r="B4" s="38" t="s">
        <v>462</v>
      </c>
    </row>
    <row r="6" spans="1:104" ht="15.75" outlineLevel="1" x14ac:dyDescent="0.25">
      <c r="B6" s="2" t="s">
        <v>495</v>
      </c>
      <c r="H6" s="2" t="s">
        <v>463</v>
      </c>
      <c r="T6" s="2" t="s">
        <v>465</v>
      </c>
    </row>
    <row r="7" spans="1:104" outlineLevel="1" x14ac:dyDescent="0.25">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row>
    <row r="8" spans="1:104" outlineLevel="1" x14ac:dyDescent="0.25">
      <c r="B8" s="16" t="s">
        <v>436</v>
      </c>
      <c r="C8" s="16" t="s">
        <v>434</v>
      </c>
      <c r="D8" s="16" t="s">
        <v>435</v>
      </c>
      <c r="E8" s="16" t="s">
        <v>430</v>
      </c>
      <c r="F8" s="16" t="s">
        <v>437</v>
      </c>
      <c r="H8" s="16" t="s">
        <v>428</v>
      </c>
      <c r="I8" s="17" t="s">
        <v>431</v>
      </c>
      <c r="J8" s="17" t="s">
        <v>432</v>
      </c>
      <c r="K8" s="17" t="s">
        <v>433</v>
      </c>
      <c r="L8" s="17" t="s">
        <v>438</v>
      </c>
      <c r="M8" s="17" t="s">
        <v>439</v>
      </c>
      <c r="N8" s="17" t="s">
        <v>440</v>
      </c>
      <c r="O8" s="17" t="s">
        <v>441</v>
      </c>
      <c r="P8" s="17" t="s">
        <v>442</v>
      </c>
      <c r="Q8" s="17" t="s">
        <v>443</v>
      </c>
      <c r="R8" s="17" t="s">
        <v>444</v>
      </c>
      <c r="T8" s="16" t="s">
        <v>445</v>
      </c>
      <c r="U8" s="16" t="s">
        <v>446</v>
      </c>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row>
    <row r="9" spans="1:104" outlineLevel="1" x14ac:dyDescent="0.25">
      <c r="B9" s="17" t="s">
        <v>3</v>
      </c>
      <c r="C9" s="17" t="s">
        <v>33</v>
      </c>
      <c r="D9" s="17" t="s">
        <v>32</v>
      </c>
      <c r="E9" s="18">
        <v>608044</v>
      </c>
      <c r="F9" s="24">
        <v>0</v>
      </c>
      <c r="H9" s="16" t="s">
        <v>415</v>
      </c>
      <c r="I9" s="17" t="s">
        <v>420</v>
      </c>
      <c r="J9" s="17" t="s">
        <v>416</v>
      </c>
      <c r="K9" s="17"/>
      <c r="L9" s="17"/>
      <c r="M9" s="17"/>
      <c r="N9" s="17"/>
      <c r="O9" s="17"/>
      <c r="P9" s="17"/>
      <c r="Q9" s="17"/>
      <c r="R9" s="17"/>
      <c r="T9" s="16" t="s">
        <v>32</v>
      </c>
      <c r="U9" s="17" t="s">
        <v>34</v>
      </c>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row>
    <row r="10" spans="1:104" outlineLevel="1" x14ac:dyDescent="0.25">
      <c r="B10" s="17" t="s">
        <v>80</v>
      </c>
      <c r="C10" s="17" t="s">
        <v>88</v>
      </c>
      <c r="D10" s="17" t="s">
        <v>87</v>
      </c>
      <c r="E10" s="18">
        <v>543264</v>
      </c>
      <c r="F10" s="24">
        <v>0</v>
      </c>
      <c r="H10" s="16" t="s">
        <v>392</v>
      </c>
      <c r="I10" s="17" t="s">
        <v>411</v>
      </c>
      <c r="J10" s="17" t="s">
        <v>407</v>
      </c>
      <c r="K10" s="17" t="s">
        <v>403</v>
      </c>
      <c r="L10" s="17" t="s">
        <v>399</v>
      </c>
      <c r="M10" s="17" t="s">
        <v>395</v>
      </c>
      <c r="N10" s="17" t="s">
        <v>393</v>
      </c>
      <c r="O10" s="17"/>
      <c r="P10" s="17"/>
      <c r="Q10" s="17"/>
      <c r="R10" s="17"/>
      <c r="T10" s="16" t="s">
        <v>87</v>
      </c>
      <c r="U10" s="17" t="s">
        <v>89</v>
      </c>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row>
    <row r="11" spans="1:104" outlineLevel="1" x14ac:dyDescent="0.25">
      <c r="B11" s="17" t="s">
        <v>375</v>
      </c>
      <c r="C11" s="17" t="s">
        <v>387</v>
      </c>
      <c r="D11" s="17" t="s">
        <v>386</v>
      </c>
      <c r="E11" s="18">
        <v>344240</v>
      </c>
      <c r="F11" s="24">
        <v>0</v>
      </c>
      <c r="H11" s="16" t="s">
        <v>375</v>
      </c>
      <c r="I11" s="17" t="s">
        <v>388</v>
      </c>
      <c r="J11" s="17" t="s">
        <v>384</v>
      </c>
      <c r="K11" s="17" t="s">
        <v>380</v>
      </c>
      <c r="L11" s="17" t="s">
        <v>376</v>
      </c>
      <c r="M11" s="17"/>
      <c r="N11" s="17"/>
      <c r="O11" s="17"/>
      <c r="P11" s="17"/>
      <c r="Q11" s="17"/>
      <c r="R11" s="17"/>
      <c r="T11" s="16" t="s">
        <v>386</v>
      </c>
      <c r="U11" s="17" t="s">
        <v>388</v>
      </c>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row>
    <row r="12" spans="1:104" outlineLevel="1" x14ac:dyDescent="0.25">
      <c r="B12" s="17" t="s">
        <v>38</v>
      </c>
      <c r="C12" s="17" t="s">
        <v>58</v>
      </c>
      <c r="D12" s="17" t="s">
        <v>57</v>
      </c>
      <c r="E12" s="18">
        <v>160976</v>
      </c>
      <c r="F12" s="24">
        <v>0</v>
      </c>
      <c r="H12" s="16" t="s">
        <v>362</v>
      </c>
      <c r="I12" s="17" t="s">
        <v>371</v>
      </c>
      <c r="J12" s="17" t="s">
        <v>367</v>
      </c>
      <c r="K12" s="17" t="s">
        <v>363</v>
      </c>
      <c r="L12" s="17"/>
      <c r="M12" s="17"/>
      <c r="N12" s="17"/>
      <c r="O12" s="17"/>
      <c r="P12" s="17"/>
      <c r="Q12" s="17"/>
      <c r="R12" s="17"/>
      <c r="T12" s="16" t="s">
        <v>57</v>
      </c>
      <c r="U12" s="17" t="s">
        <v>59</v>
      </c>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row>
    <row r="13" spans="1:104" outlineLevel="1" x14ac:dyDescent="0.25">
      <c r="B13" s="17" t="s">
        <v>38</v>
      </c>
      <c r="C13" s="17" t="s">
        <v>54</v>
      </c>
      <c r="D13" s="17" t="s">
        <v>53</v>
      </c>
      <c r="E13" s="18">
        <v>137678</v>
      </c>
      <c r="F13" s="24">
        <v>0</v>
      </c>
      <c r="H13" s="16" t="s">
        <v>345</v>
      </c>
      <c r="I13" s="17" t="s">
        <v>358</v>
      </c>
      <c r="J13" s="17" t="s">
        <v>354</v>
      </c>
      <c r="K13" s="17" t="s">
        <v>350</v>
      </c>
      <c r="L13" s="17" t="s">
        <v>346</v>
      </c>
      <c r="M13" s="17"/>
      <c r="N13" s="17"/>
      <c r="O13" s="17"/>
      <c r="P13" s="17"/>
      <c r="Q13" s="17"/>
      <c r="R13" s="17"/>
      <c r="T13" s="16" t="s">
        <v>49</v>
      </c>
      <c r="U13" s="17" t="s">
        <v>51</v>
      </c>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row>
    <row r="14" spans="1:104" outlineLevel="1" x14ac:dyDescent="0.25">
      <c r="B14" s="17" t="s">
        <v>38</v>
      </c>
      <c r="C14" s="17" t="s">
        <v>50</v>
      </c>
      <c r="D14" s="17" t="s">
        <v>49</v>
      </c>
      <c r="E14" s="18">
        <v>1084296</v>
      </c>
      <c r="F14" s="24">
        <v>0</v>
      </c>
      <c r="H14" s="16" t="s">
        <v>328</v>
      </c>
      <c r="I14" s="17" t="s">
        <v>341</v>
      </c>
      <c r="J14" s="17" t="s">
        <v>337</v>
      </c>
      <c r="K14" s="17" t="s">
        <v>333</v>
      </c>
      <c r="L14" s="17" t="s">
        <v>329</v>
      </c>
      <c r="M14" s="17"/>
      <c r="N14" s="17"/>
      <c r="O14" s="17"/>
      <c r="P14" s="17"/>
      <c r="Q14" s="17"/>
      <c r="R14" s="17"/>
      <c r="T14" s="16" t="s">
        <v>28</v>
      </c>
      <c r="U14" s="17" t="s">
        <v>30</v>
      </c>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row>
    <row r="15" spans="1:104" outlineLevel="1" x14ac:dyDescent="0.25">
      <c r="B15" s="17" t="s">
        <v>3</v>
      </c>
      <c r="C15" s="17" t="s">
        <v>29</v>
      </c>
      <c r="D15" s="17" t="s">
        <v>28</v>
      </c>
      <c r="E15" s="18">
        <v>320736</v>
      </c>
      <c r="F15" s="24">
        <v>0</v>
      </c>
      <c r="H15" s="16" t="s">
        <v>303</v>
      </c>
      <c r="I15" s="17" t="s">
        <v>324</v>
      </c>
      <c r="J15" s="17" t="s">
        <v>320</v>
      </c>
      <c r="K15" s="17" t="s">
        <v>316</v>
      </c>
      <c r="L15" s="17" t="s">
        <v>312</v>
      </c>
      <c r="M15" s="17" t="s">
        <v>308</v>
      </c>
      <c r="N15" s="17" t="s">
        <v>304</v>
      </c>
      <c r="O15" s="17"/>
      <c r="P15" s="17"/>
      <c r="Q15" s="17"/>
      <c r="R15" s="17"/>
      <c r="T15" s="16" t="s">
        <v>297</v>
      </c>
      <c r="U15" s="17" t="s">
        <v>299</v>
      </c>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row>
    <row r="16" spans="1:104" outlineLevel="1" x14ac:dyDescent="0.25">
      <c r="B16" s="17" t="s">
        <v>286</v>
      </c>
      <c r="C16" s="17" t="s">
        <v>298</v>
      </c>
      <c r="D16" s="17" t="s">
        <v>297</v>
      </c>
      <c r="E16" s="18">
        <v>282665</v>
      </c>
      <c r="F16" s="24">
        <v>0</v>
      </c>
      <c r="H16" s="16" t="s">
        <v>286</v>
      </c>
      <c r="I16" s="17" t="s">
        <v>299</v>
      </c>
      <c r="J16" s="17" t="s">
        <v>295</v>
      </c>
      <c r="K16" s="17" t="s">
        <v>291</v>
      </c>
      <c r="L16" s="17" t="s">
        <v>287</v>
      </c>
      <c r="M16" s="17"/>
      <c r="N16" s="17"/>
      <c r="O16" s="17"/>
      <c r="P16" s="17"/>
      <c r="Q16" s="17"/>
      <c r="R16" s="17"/>
      <c r="T16" s="16" t="s">
        <v>151</v>
      </c>
      <c r="U16" s="17" t="s">
        <v>153</v>
      </c>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row>
    <row r="17" spans="2:104" outlineLevel="1" x14ac:dyDescent="0.25">
      <c r="B17" s="17" t="s">
        <v>124</v>
      </c>
      <c r="C17" s="17" t="s">
        <v>152</v>
      </c>
      <c r="D17" s="17" t="s">
        <v>151</v>
      </c>
      <c r="E17" s="18">
        <v>154546</v>
      </c>
      <c r="F17" s="24">
        <v>0</v>
      </c>
      <c r="H17" s="16" t="s">
        <v>277</v>
      </c>
      <c r="I17" s="17" t="s">
        <v>282</v>
      </c>
      <c r="J17" s="17" t="s">
        <v>278</v>
      </c>
      <c r="K17" s="17"/>
      <c r="L17" s="17"/>
      <c r="M17" s="17"/>
      <c r="N17" s="17"/>
      <c r="O17" s="17"/>
      <c r="P17" s="17"/>
      <c r="Q17" s="17"/>
      <c r="R17" s="17"/>
      <c r="T17" s="16" t="s">
        <v>293</v>
      </c>
      <c r="U17" s="17" t="s">
        <v>295</v>
      </c>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row>
    <row r="18" spans="2:104" outlineLevel="1" x14ac:dyDescent="0.25">
      <c r="B18" s="17" t="s">
        <v>286</v>
      </c>
      <c r="C18" s="17" t="s">
        <v>294</v>
      </c>
      <c r="D18" s="17" t="s">
        <v>293</v>
      </c>
      <c r="E18" s="18">
        <v>302700</v>
      </c>
      <c r="F18" s="24">
        <v>0</v>
      </c>
      <c r="H18" s="16" t="s">
        <v>268</v>
      </c>
      <c r="I18" s="17" t="s">
        <v>273</v>
      </c>
      <c r="J18" s="17" t="s">
        <v>269</v>
      </c>
      <c r="K18" s="17"/>
      <c r="L18" s="17"/>
      <c r="M18" s="17"/>
      <c r="N18" s="17"/>
      <c r="O18" s="17"/>
      <c r="P18" s="17"/>
      <c r="Q18" s="17"/>
      <c r="R18" s="17"/>
      <c r="T18" s="16" t="s">
        <v>202</v>
      </c>
      <c r="U18" s="17" t="s">
        <v>204</v>
      </c>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row>
    <row r="19" spans="2:104" outlineLevel="1" x14ac:dyDescent="0.25">
      <c r="B19" s="17" t="s">
        <v>191</v>
      </c>
      <c r="C19" s="17" t="s">
        <v>203</v>
      </c>
      <c r="D19" s="17" t="s">
        <v>202</v>
      </c>
      <c r="E19" s="18">
        <v>363188</v>
      </c>
      <c r="F19" s="24">
        <v>0</v>
      </c>
      <c r="H19" s="16" t="s">
        <v>262</v>
      </c>
      <c r="I19" s="17" t="s">
        <v>264</v>
      </c>
      <c r="J19" s="17"/>
      <c r="K19" s="17"/>
      <c r="L19" s="17"/>
      <c r="M19" s="17"/>
      <c r="N19" s="17"/>
      <c r="O19" s="17"/>
      <c r="P19" s="17"/>
      <c r="Q19" s="17"/>
      <c r="R19" s="17"/>
      <c r="T19" s="16" t="s">
        <v>147</v>
      </c>
      <c r="U19" s="17" t="s">
        <v>149</v>
      </c>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row>
    <row r="20" spans="2:104" outlineLevel="1" x14ac:dyDescent="0.25">
      <c r="B20" s="17" t="s">
        <v>124</v>
      </c>
      <c r="C20" s="17" t="s">
        <v>148</v>
      </c>
      <c r="D20" s="17" t="s">
        <v>147</v>
      </c>
      <c r="E20" s="18">
        <v>281370</v>
      </c>
      <c r="F20" s="24">
        <v>0</v>
      </c>
      <c r="G20" s="37"/>
      <c r="H20" s="16" t="s">
        <v>258</v>
      </c>
      <c r="I20" s="17" t="s">
        <v>260</v>
      </c>
      <c r="J20" s="17"/>
      <c r="K20" s="17"/>
      <c r="L20" s="17"/>
      <c r="M20" s="17"/>
      <c r="N20" s="17"/>
      <c r="O20" s="17"/>
      <c r="P20" s="17"/>
      <c r="Q20" s="17"/>
      <c r="R20" s="17"/>
      <c r="S20" s="37"/>
      <c r="T20" s="16" t="s">
        <v>418</v>
      </c>
      <c r="U20" s="17" t="s">
        <v>420</v>
      </c>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row>
    <row r="21" spans="2:104" outlineLevel="1" x14ac:dyDescent="0.25">
      <c r="B21" s="17" t="s">
        <v>38</v>
      </c>
      <c r="C21" s="17" t="s">
        <v>46</v>
      </c>
      <c r="D21" s="17" t="s">
        <v>45</v>
      </c>
      <c r="E21" s="18">
        <v>1982195</v>
      </c>
      <c r="F21" s="24">
        <v>0</v>
      </c>
      <c r="G21" s="37"/>
      <c r="H21" s="16" t="s">
        <v>249</v>
      </c>
      <c r="I21" s="17" t="s">
        <v>256</v>
      </c>
      <c r="J21" s="17" t="s">
        <v>252</v>
      </c>
      <c r="K21" s="17" t="s">
        <v>250</v>
      </c>
      <c r="L21" s="17"/>
      <c r="M21" s="17"/>
      <c r="N21" s="17"/>
      <c r="O21" s="17"/>
      <c r="P21" s="17"/>
      <c r="Q21" s="17"/>
      <c r="R21" s="17"/>
      <c r="S21" s="37"/>
      <c r="T21" s="16" t="s">
        <v>45</v>
      </c>
      <c r="U21" s="17" t="s">
        <v>47</v>
      </c>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row>
    <row r="22" spans="2:104" outlineLevel="1" x14ac:dyDescent="0.25">
      <c r="B22" s="17" t="s">
        <v>362</v>
      </c>
      <c r="C22" s="17" t="s">
        <v>370</v>
      </c>
      <c r="D22" s="17" t="s">
        <v>369</v>
      </c>
      <c r="E22" s="18">
        <v>686200</v>
      </c>
      <c r="F22" s="24">
        <v>0</v>
      </c>
      <c r="G22" s="37"/>
      <c r="H22" s="16" t="s">
        <v>216</v>
      </c>
      <c r="I22" s="17" t="s">
        <v>245</v>
      </c>
      <c r="J22" s="17" t="s">
        <v>241</v>
      </c>
      <c r="K22" s="17" t="s">
        <v>237</v>
      </c>
      <c r="L22" s="17" t="s">
        <v>233</v>
      </c>
      <c r="M22" s="17" t="s">
        <v>229</v>
      </c>
      <c r="N22" s="17" t="s">
        <v>225</v>
      </c>
      <c r="O22" s="17" t="s">
        <v>221</v>
      </c>
      <c r="P22" s="17" t="s">
        <v>217</v>
      </c>
      <c r="Q22" s="17"/>
      <c r="R22" s="17"/>
      <c r="S22" s="37"/>
      <c r="T22" s="16" t="s">
        <v>369</v>
      </c>
      <c r="U22" s="17" t="s">
        <v>371</v>
      </c>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row>
    <row r="23" spans="2:104" outlineLevel="1" x14ac:dyDescent="0.25">
      <c r="B23" s="17" t="s">
        <v>375</v>
      </c>
      <c r="C23" s="17" t="s">
        <v>383</v>
      </c>
      <c r="D23" s="17" t="s">
        <v>382</v>
      </c>
      <c r="E23" s="18">
        <v>148737</v>
      </c>
      <c r="F23" s="24">
        <v>0</v>
      </c>
      <c r="G23" s="37"/>
      <c r="H23" s="16" t="s">
        <v>210</v>
      </c>
      <c r="I23" s="17" t="s">
        <v>212</v>
      </c>
      <c r="J23" s="17"/>
      <c r="K23" s="17"/>
      <c r="L23" s="17"/>
      <c r="M23" s="17"/>
      <c r="N23" s="17"/>
      <c r="O23" s="17"/>
      <c r="P23" s="17"/>
      <c r="Q23" s="17"/>
      <c r="R23" s="17"/>
      <c r="S23" s="37"/>
      <c r="T23" s="16" t="s">
        <v>382</v>
      </c>
      <c r="U23" s="17" t="s">
        <v>384</v>
      </c>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2:104" outlineLevel="1" x14ac:dyDescent="0.25">
      <c r="B24" s="17" t="s">
        <v>63</v>
      </c>
      <c r="C24" s="17" t="s">
        <v>75</v>
      </c>
      <c r="D24" s="17" t="s">
        <v>74</v>
      </c>
      <c r="E24" s="18">
        <v>355419</v>
      </c>
      <c r="F24" s="24">
        <v>0</v>
      </c>
      <c r="G24" s="37"/>
      <c r="H24" s="16" t="s">
        <v>191</v>
      </c>
      <c r="I24" s="17" t="s">
        <v>204</v>
      </c>
      <c r="J24" s="17" t="s">
        <v>208</v>
      </c>
      <c r="K24" s="17" t="s">
        <v>200</v>
      </c>
      <c r="L24" s="17" t="s">
        <v>196</v>
      </c>
      <c r="M24" s="17" t="s">
        <v>192</v>
      </c>
      <c r="N24" s="17"/>
      <c r="O24" s="17"/>
      <c r="P24" s="17"/>
      <c r="Q24" s="17"/>
      <c r="R24" s="17"/>
      <c r="S24" s="37"/>
      <c r="T24" s="16" t="s">
        <v>74</v>
      </c>
      <c r="U24" s="17" t="s">
        <v>76</v>
      </c>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2:104" outlineLevel="1" x14ac:dyDescent="0.25">
      <c r="B25" s="17" t="s">
        <v>63</v>
      </c>
      <c r="C25" s="17" t="s">
        <v>71</v>
      </c>
      <c r="D25" s="17" t="s">
        <v>70</v>
      </c>
      <c r="E25" s="18">
        <v>629124</v>
      </c>
      <c r="F25" s="24">
        <v>0</v>
      </c>
      <c r="G25" s="37"/>
      <c r="H25" s="16" t="s">
        <v>178</v>
      </c>
      <c r="I25" s="17" t="s">
        <v>187</v>
      </c>
      <c r="J25" s="17" t="s">
        <v>183</v>
      </c>
      <c r="K25" s="17" t="s">
        <v>179</v>
      </c>
      <c r="L25" s="17"/>
      <c r="M25" s="17"/>
      <c r="N25" s="17"/>
      <c r="O25" s="17"/>
      <c r="P25" s="17"/>
      <c r="Q25" s="17"/>
      <c r="R25" s="17"/>
      <c r="S25" s="37"/>
      <c r="T25" s="16" t="s">
        <v>70</v>
      </c>
      <c r="U25" s="17" t="s">
        <v>72</v>
      </c>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2:104" outlineLevel="1" x14ac:dyDescent="0.25">
      <c r="B26" s="17" t="s">
        <v>303</v>
      </c>
      <c r="C26" s="17" t="s">
        <v>323</v>
      </c>
      <c r="D26" s="17" t="s">
        <v>322</v>
      </c>
      <c r="E26" s="18">
        <v>312987</v>
      </c>
      <c r="F26" s="24">
        <v>0</v>
      </c>
      <c r="G26" s="37"/>
      <c r="H26" s="16" t="s">
        <v>161</v>
      </c>
      <c r="I26" s="17" t="s">
        <v>174</v>
      </c>
      <c r="J26" s="17" t="s">
        <v>170</v>
      </c>
      <c r="K26" s="17" t="s">
        <v>166</v>
      </c>
      <c r="L26" s="17" t="s">
        <v>162</v>
      </c>
      <c r="M26" s="17"/>
      <c r="N26" s="17"/>
      <c r="O26" s="17"/>
      <c r="P26" s="17"/>
      <c r="Q26" s="17"/>
      <c r="R26" s="17"/>
      <c r="S26" s="37"/>
      <c r="T26" s="16" t="s">
        <v>322</v>
      </c>
      <c r="U26" s="17" t="s">
        <v>324</v>
      </c>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2:104" outlineLevel="1" x14ac:dyDescent="0.25">
      <c r="B27" s="17" t="s">
        <v>178</v>
      </c>
      <c r="C27" s="17" t="s">
        <v>186</v>
      </c>
      <c r="D27" s="17" t="s">
        <v>185</v>
      </c>
      <c r="E27" s="18">
        <v>244685</v>
      </c>
      <c r="F27" s="24">
        <v>0</v>
      </c>
      <c r="H27" s="16" t="s">
        <v>155</v>
      </c>
      <c r="I27" s="17" t="s">
        <v>157</v>
      </c>
      <c r="J27" s="17"/>
      <c r="K27" s="17"/>
      <c r="L27" s="17"/>
      <c r="M27" s="17"/>
      <c r="N27" s="17"/>
      <c r="O27" s="17"/>
      <c r="P27" s="17"/>
      <c r="Q27" s="17"/>
      <c r="R27" s="17"/>
      <c r="T27" s="16" t="s">
        <v>185</v>
      </c>
      <c r="U27" s="17" t="s">
        <v>187</v>
      </c>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row>
    <row r="28" spans="2:104" outlineLevel="1" x14ac:dyDescent="0.25">
      <c r="B28" s="17" t="s">
        <v>345</v>
      </c>
      <c r="C28" s="17" t="s">
        <v>357</v>
      </c>
      <c r="D28" s="17" t="s">
        <v>356</v>
      </c>
      <c r="E28" s="18">
        <v>525790</v>
      </c>
      <c r="F28" s="24">
        <v>0</v>
      </c>
      <c r="H28" s="16" t="s">
        <v>124</v>
      </c>
      <c r="I28" s="17" t="s">
        <v>153</v>
      </c>
      <c r="J28" s="17" t="s">
        <v>149</v>
      </c>
      <c r="K28" s="17" t="s">
        <v>145</v>
      </c>
      <c r="L28" s="17" t="s">
        <v>141</v>
      </c>
      <c r="M28" s="17" t="s">
        <v>137</v>
      </c>
      <c r="N28" s="17" t="s">
        <v>133</v>
      </c>
      <c r="O28" s="17" t="s">
        <v>129</v>
      </c>
      <c r="P28" s="17" t="s">
        <v>125</v>
      </c>
      <c r="Q28" s="17"/>
      <c r="R28" s="17"/>
      <c r="T28" s="16" t="s">
        <v>280</v>
      </c>
      <c r="U28" s="17" t="s">
        <v>282</v>
      </c>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row>
    <row r="29" spans="2:104" outlineLevel="1" x14ac:dyDescent="0.25">
      <c r="B29" s="17" t="s">
        <v>328</v>
      </c>
      <c r="C29" s="17" t="s">
        <v>340</v>
      </c>
      <c r="D29" s="17" t="s">
        <v>339</v>
      </c>
      <c r="E29" s="18">
        <v>601027</v>
      </c>
      <c r="F29" s="24">
        <v>0</v>
      </c>
      <c r="H29" s="16" t="s">
        <v>115</v>
      </c>
      <c r="I29" s="17" t="s">
        <v>120</v>
      </c>
      <c r="J29" s="17" t="s">
        <v>116</v>
      </c>
      <c r="K29" s="17"/>
      <c r="L29" s="17"/>
      <c r="M29" s="17"/>
      <c r="N29" s="17"/>
      <c r="O29" s="17"/>
      <c r="P29" s="17"/>
      <c r="Q29" s="17"/>
      <c r="R29" s="17"/>
      <c r="T29" s="16" t="s">
        <v>356</v>
      </c>
      <c r="U29" s="17" t="s">
        <v>358</v>
      </c>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row>
    <row r="30" spans="2:104" outlineLevel="1" x14ac:dyDescent="0.25">
      <c r="B30" s="17" t="s">
        <v>178</v>
      </c>
      <c r="C30" s="17" t="s">
        <v>182</v>
      </c>
      <c r="D30" s="17" t="s">
        <v>181</v>
      </c>
      <c r="E30" s="18">
        <v>123602</v>
      </c>
      <c r="F30" s="24">
        <v>0</v>
      </c>
      <c r="H30" s="16" t="s">
        <v>93</v>
      </c>
      <c r="I30" s="17" t="s">
        <v>111</v>
      </c>
      <c r="J30" s="17" t="s">
        <v>107</v>
      </c>
      <c r="K30" s="17" t="s">
        <v>103</v>
      </c>
      <c r="L30" s="17" t="s">
        <v>99</v>
      </c>
      <c r="M30" s="17" t="s">
        <v>94</v>
      </c>
      <c r="N30" s="17"/>
      <c r="O30" s="17"/>
      <c r="P30" s="17"/>
      <c r="Q30" s="17"/>
      <c r="R30" s="17"/>
      <c r="T30" s="16" t="s">
        <v>339</v>
      </c>
      <c r="U30" s="17" t="s">
        <v>341</v>
      </c>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row>
    <row r="31" spans="2:104" outlineLevel="1" x14ac:dyDescent="0.25">
      <c r="B31" s="17" t="s">
        <v>392</v>
      </c>
      <c r="C31" s="17" t="s">
        <v>410</v>
      </c>
      <c r="D31" s="17" t="s">
        <v>409</v>
      </c>
      <c r="E31" s="18">
        <v>421100</v>
      </c>
      <c r="F31" s="24">
        <v>0</v>
      </c>
      <c r="H31" s="16" t="s">
        <v>80</v>
      </c>
      <c r="I31" s="17" t="s">
        <v>89</v>
      </c>
      <c r="J31" s="17" t="s">
        <v>85</v>
      </c>
      <c r="K31" s="17" t="s">
        <v>81</v>
      </c>
      <c r="L31" s="17"/>
      <c r="M31" s="17"/>
      <c r="N31" s="17"/>
      <c r="O31" s="17"/>
      <c r="P31" s="17"/>
      <c r="Q31" s="17"/>
      <c r="R31" s="17"/>
      <c r="T31" s="16" t="s">
        <v>181</v>
      </c>
      <c r="U31" s="17" t="s">
        <v>183</v>
      </c>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row>
    <row r="32" spans="2:104" outlineLevel="1" x14ac:dyDescent="0.25">
      <c r="B32" s="17" t="s">
        <v>268</v>
      </c>
      <c r="C32" s="17" t="s">
        <v>272</v>
      </c>
      <c r="D32" s="17" t="s">
        <v>271</v>
      </c>
      <c r="E32" s="18">
        <v>1071494.75</v>
      </c>
      <c r="F32" s="24">
        <v>0</v>
      </c>
      <c r="H32" s="16" t="s">
        <v>63</v>
      </c>
      <c r="I32" s="17" t="s">
        <v>76</v>
      </c>
      <c r="J32" s="17" t="s">
        <v>72</v>
      </c>
      <c r="K32" s="17" t="s">
        <v>68</v>
      </c>
      <c r="L32" s="17" t="s">
        <v>64</v>
      </c>
      <c r="M32" s="17"/>
      <c r="N32" s="17"/>
      <c r="O32" s="17"/>
      <c r="P32" s="17"/>
      <c r="Q32" s="17"/>
      <c r="R32" s="17"/>
      <c r="T32" s="16" t="s">
        <v>66</v>
      </c>
      <c r="U32" s="17" t="s">
        <v>68</v>
      </c>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row>
    <row r="33" spans="2:104" outlineLevel="1" x14ac:dyDescent="0.25">
      <c r="B33" s="17" t="s">
        <v>3</v>
      </c>
      <c r="C33" s="17" t="s">
        <v>25</v>
      </c>
      <c r="D33" s="17" t="s">
        <v>24</v>
      </c>
      <c r="E33" s="18">
        <v>493400</v>
      </c>
      <c r="F33" s="24">
        <v>0</v>
      </c>
      <c r="H33" s="16" t="s">
        <v>38</v>
      </c>
      <c r="I33" s="17" t="s">
        <v>59</v>
      </c>
      <c r="J33" s="17" t="s">
        <v>55</v>
      </c>
      <c r="K33" s="17" t="s">
        <v>51</v>
      </c>
      <c r="L33" s="17" t="s">
        <v>47</v>
      </c>
      <c r="M33" s="17" t="s">
        <v>43</v>
      </c>
      <c r="N33" s="17" t="s">
        <v>39</v>
      </c>
      <c r="O33" s="17"/>
      <c r="P33" s="17"/>
      <c r="Q33" s="17"/>
      <c r="R33" s="17"/>
      <c r="T33" s="16" t="s">
        <v>409</v>
      </c>
      <c r="U33" s="17" t="s">
        <v>411</v>
      </c>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row>
    <row r="34" spans="2:104" outlineLevel="1" x14ac:dyDescent="0.25">
      <c r="B34" s="17" t="s">
        <v>249</v>
      </c>
      <c r="C34" s="17" t="s">
        <v>255</v>
      </c>
      <c r="D34" s="17" t="s">
        <v>254</v>
      </c>
      <c r="E34" s="18">
        <v>590927</v>
      </c>
      <c r="F34" s="24">
        <v>0</v>
      </c>
      <c r="H34" s="16" t="s">
        <v>3</v>
      </c>
      <c r="I34" s="17" t="s">
        <v>34</v>
      </c>
      <c r="J34" s="17" t="s">
        <v>30</v>
      </c>
      <c r="K34" s="17" t="s">
        <v>26</v>
      </c>
      <c r="L34" s="17" t="s">
        <v>22</v>
      </c>
      <c r="M34" s="17" t="s">
        <v>18</v>
      </c>
      <c r="N34" s="17" t="s">
        <v>16</v>
      </c>
      <c r="O34" s="17" t="s">
        <v>12</v>
      </c>
      <c r="P34" s="17" t="s">
        <v>8</v>
      </c>
      <c r="Q34" s="17" t="s">
        <v>4</v>
      </c>
      <c r="R34" s="17"/>
      <c r="T34" s="16" t="s">
        <v>271</v>
      </c>
      <c r="U34" s="17" t="s">
        <v>273</v>
      </c>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row>
    <row r="35" spans="2:104" outlineLevel="1" x14ac:dyDescent="0.25">
      <c r="B35" s="17" t="s">
        <v>303</v>
      </c>
      <c r="C35" s="17" t="s">
        <v>319</v>
      </c>
      <c r="D35" s="17" t="s">
        <v>318</v>
      </c>
      <c r="E35" s="18">
        <v>431317</v>
      </c>
      <c r="F35" s="24">
        <v>0</v>
      </c>
      <c r="T35" s="16" t="s">
        <v>24</v>
      </c>
      <c r="U35" s="17" t="s">
        <v>26</v>
      </c>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row>
    <row r="36" spans="2:104" outlineLevel="1" x14ac:dyDescent="0.25">
      <c r="B36" s="17" t="s">
        <v>328</v>
      </c>
      <c r="C36" s="17" t="s">
        <v>336</v>
      </c>
      <c r="D36" s="17" t="s">
        <v>335</v>
      </c>
      <c r="E36" s="18">
        <v>911868</v>
      </c>
      <c r="F36" s="24">
        <v>0</v>
      </c>
      <c r="T36" s="16" t="s">
        <v>231</v>
      </c>
      <c r="U36" s="17" t="s">
        <v>233</v>
      </c>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row>
    <row r="37" spans="2:104" ht="15.75" outlineLevel="1" x14ac:dyDescent="0.25">
      <c r="B37" s="17" t="s">
        <v>277</v>
      </c>
      <c r="C37" s="17" t="s">
        <v>281</v>
      </c>
      <c r="D37" s="17" t="s">
        <v>280</v>
      </c>
      <c r="E37" s="18">
        <v>146792</v>
      </c>
      <c r="F37" s="24">
        <v>0.08</v>
      </c>
      <c r="H37" s="2" t="s">
        <v>464</v>
      </c>
      <c r="T37" s="16" t="s">
        <v>254</v>
      </c>
      <c r="U37" s="17" t="s">
        <v>256</v>
      </c>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row>
    <row r="38" spans="2:104" outlineLevel="1" x14ac:dyDescent="0.25">
      <c r="B38" s="17" t="s">
        <v>277</v>
      </c>
      <c r="C38" s="17" t="s">
        <v>276</v>
      </c>
      <c r="D38" s="17" t="s">
        <v>275</v>
      </c>
      <c r="E38" s="18">
        <v>169786</v>
      </c>
      <c r="F38" s="24">
        <v>0.08</v>
      </c>
      <c r="T38" s="16" t="s">
        <v>318</v>
      </c>
      <c r="U38" s="17" t="s">
        <v>320</v>
      </c>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row>
    <row r="39" spans="2:104" outlineLevel="1" x14ac:dyDescent="0.25">
      <c r="B39" s="17" t="s">
        <v>191</v>
      </c>
      <c r="C39" s="17" t="s">
        <v>207</v>
      </c>
      <c r="D39" s="17" t="s">
        <v>206</v>
      </c>
      <c r="E39" s="18">
        <v>723080</v>
      </c>
      <c r="F39" s="24">
        <v>0</v>
      </c>
      <c r="H39" s="1" t="s">
        <v>459</v>
      </c>
      <c r="T39" s="16" t="s">
        <v>335</v>
      </c>
      <c r="U39" s="17" t="s">
        <v>337</v>
      </c>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row>
    <row r="40" spans="2:104" outlineLevel="1" x14ac:dyDescent="0.25">
      <c r="B40" s="17" t="s">
        <v>124</v>
      </c>
      <c r="C40" s="17" t="s">
        <v>144</v>
      </c>
      <c r="D40" s="17" t="s">
        <v>143</v>
      </c>
      <c r="E40" s="18">
        <v>1264154</v>
      </c>
      <c r="F40" s="24">
        <v>0</v>
      </c>
      <c r="H40" s="1" t="s">
        <v>498</v>
      </c>
      <c r="T40" s="16" t="s">
        <v>206</v>
      </c>
      <c r="U40" s="17" t="s">
        <v>208</v>
      </c>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row>
    <row r="41" spans="2:104" outlineLevel="1" x14ac:dyDescent="0.25">
      <c r="B41" s="17" t="s">
        <v>124</v>
      </c>
      <c r="C41" s="17" t="s">
        <v>140</v>
      </c>
      <c r="D41" s="17" t="s">
        <v>139</v>
      </c>
      <c r="E41" s="18">
        <v>191262</v>
      </c>
      <c r="F41" s="24">
        <v>0</v>
      </c>
      <c r="T41" s="16" t="s">
        <v>139</v>
      </c>
      <c r="U41" s="17" t="s">
        <v>141</v>
      </c>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row>
    <row r="42" spans="2:104" outlineLevel="1" x14ac:dyDescent="0.25">
      <c r="B42" s="17" t="s">
        <v>392</v>
      </c>
      <c r="C42" s="17" t="s">
        <v>406</v>
      </c>
      <c r="D42" s="17" t="s">
        <v>405</v>
      </c>
      <c r="E42" s="18">
        <v>1473569</v>
      </c>
      <c r="F42" s="24">
        <v>0</v>
      </c>
      <c r="T42" s="16" t="s">
        <v>405</v>
      </c>
      <c r="U42" s="17" t="s">
        <v>407</v>
      </c>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row>
    <row r="43" spans="2:104" outlineLevel="1" x14ac:dyDescent="0.25">
      <c r="B43" s="17" t="s">
        <v>191</v>
      </c>
      <c r="C43" s="17" t="s">
        <v>199</v>
      </c>
      <c r="D43" s="17" t="s">
        <v>198</v>
      </c>
      <c r="E43" s="18">
        <v>1064251</v>
      </c>
      <c r="F43" s="24">
        <v>0</v>
      </c>
      <c r="T43" s="16" t="s">
        <v>262</v>
      </c>
      <c r="U43" s="17" t="s">
        <v>264</v>
      </c>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row>
    <row r="44" spans="2:104" outlineLevel="1" x14ac:dyDescent="0.25">
      <c r="B44" s="17" t="s">
        <v>328</v>
      </c>
      <c r="C44" s="17" t="s">
        <v>332</v>
      </c>
      <c r="D44" s="17" t="s">
        <v>331</v>
      </c>
      <c r="E44" s="18">
        <v>1003815</v>
      </c>
      <c r="F44" s="24">
        <v>0</v>
      </c>
      <c r="T44" s="16" t="s">
        <v>258</v>
      </c>
      <c r="U44" s="17" t="s">
        <v>260</v>
      </c>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row>
    <row r="45" spans="2:104" outlineLevel="1" x14ac:dyDescent="0.25">
      <c r="B45" s="17" t="s">
        <v>303</v>
      </c>
      <c r="C45" s="17" t="s">
        <v>315</v>
      </c>
      <c r="D45" s="17" t="s">
        <v>314</v>
      </c>
      <c r="E45" s="18">
        <v>232461</v>
      </c>
      <c r="F45" s="24">
        <v>0</v>
      </c>
      <c r="T45" s="16" t="s">
        <v>275</v>
      </c>
      <c r="U45" s="17" t="s">
        <v>278</v>
      </c>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row>
    <row r="46" spans="2:104" outlineLevel="1" x14ac:dyDescent="0.25">
      <c r="B46" s="17" t="s">
        <v>303</v>
      </c>
      <c r="C46" s="17" t="s">
        <v>311</v>
      </c>
      <c r="D46" s="17" t="s">
        <v>310</v>
      </c>
      <c r="E46" s="18">
        <v>593797</v>
      </c>
      <c r="F46" s="24">
        <v>0</v>
      </c>
      <c r="T46" s="16" t="s">
        <v>143</v>
      </c>
      <c r="U46" s="17" t="s">
        <v>145</v>
      </c>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row>
    <row r="47" spans="2:104" outlineLevel="1" x14ac:dyDescent="0.25">
      <c r="B47" s="17" t="s">
        <v>3</v>
      </c>
      <c r="C47" s="17" t="s">
        <v>21</v>
      </c>
      <c r="D47" s="17" t="s">
        <v>20</v>
      </c>
      <c r="E47" s="18">
        <v>1227989</v>
      </c>
      <c r="F47" s="24">
        <v>0</v>
      </c>
      <c r="T47" s="16" t="s">
        <v>378</v>
      </c>
      <c r="U47" s="17" t="s">
        <v>380</v>
      </c>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row>
    <row r="48" spans="2:104" outlineLevel="1" x14ac:dyDescent="0.25">
      <c r="B48" s="17" t="s">
        <v>392</v>
      </c>
      <c r="C48" s="17" t="s">
        <v>402</v>
      </c>
      <c r="D48" s="17" t="s">
        <v>401</v>
      </c>
      <c r="E48" s="18">
        <v>390771</v>
      </c>
      <c r="F48" s="24">
        <v>0</v>
      </c>
      <c r="T48" s="16" t="s">
        <v>284</v>
      </c>
      <c r="U48" s="17" t="s">
        <v>287</v>
      </c>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row>
    <row r="49" spans="2:104" outlineLevel="1" x14ac:dyDescent="0.25">
      <c r="B49" s="17" t="s">
        <v>303</v>
      </c>
      <c r="C49" s="17" t="s">
        <v>307</v>
      </c>
      <c r="D49" s="17" t="s">
        <v>306</v>
      </c>
      <c r="E49" s="18">
        <v>331914</v>
      </c>
      <c r="F49" s="24">
        <v>0</v>
      </c>
      <c r="T49" s="16" t="s">
        <v>53</v>
      </c>
      <c r="U49" s="17" t="s">
        <v>55</v>
      </c>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row>
    <row r="50" spans="2:104" outlineLevel="1" x14ac:dyDescent="0.25">
      <c r="B50" s="17" t="s">
        <v>3</v>
      </c>
      <c r="C50" s="17" t="s">
        <v>15</v>
      </c>
      <c r="D50" s="17" t="s">
        <v>14</v>
      </c>
      <c r="E50" s="18">
        <v>762366</v>
      </c>
      <c r="F50" s="24">
        <v>0</v>
      </c>
      <c r="T50" s="16" t="s">
        <v>1</v>
      </c>
      <c r="U50" s="17" t="s">
        <v>4</v>
      </c>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row>
    <row r="51" spans="2:104" outlineLevel="1" x14ac:dyDescent="0.25">
      <c r="B51" s="17" t="s">
        <v>375</v>
      </c>
      <c r="C51" s="17" t="s">
        <v>379</v>
      </c>
      <c r="D51" s="17" t="s">
        <v>378</v>
      </c>
      <c r="E51" s="18">
        <v>224876</v>
      </c>
      <c r="F51" s="24">
        <v>0</v>
      </c>
      <c r="T51" s="16" t="s">
        <v>131</v>
      </c>
      <c r="U51" s="17" t="s">
        <v>133</v>
      </c>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row>
    <row r="52" spans="2:104" outlineLevel="1" x14ac:dyDescent="0.25">
      <c r="B52" s="17" t="s">
        <v>93</v>
      </c>
      <c r="C52" s="17" t="s">
        <v>110</v>
      </c>
      <c r="D52" s="17" t="s">
        <v>109</v>
      </c>
      <c r="E52" s="18">
        <v>1303103</v>
      </c>
      <c r="F52" s="24">
        <v>0</v>
      </c>
      <c r="T52" s="16" t="s">
        <v>176</v>
      </c>
      <c r="U52" s="17" t="s">
        <v>179</v>
      </c>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row>
    <row r="53" spans="2:104" outlineLevel="1" x14ac:dyDescent="0.25">
      <c r="B53" s="17" t="s">
        <v>303</v>
      </c>
      <c r="C53" s="17" t="s">
        <v>302</v>
      </c>
      <c r="D53" s="17" t="s">
        <v>301</v>
      </c>
      <c r="E53" s="18">
        <v>659751</v>
      </c>
      <c r="F53" s="24">
        <v>0</v>
      </c>
      <c r="T53" s="16" t="s">
        <v>413</v>
      </c>
      <c r="U53" s="17" t="s">
        <v>416</v>
      </c>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row>
    <row r="54" spans="2:104" outlineLevel="1" x14ac:dyDescent="0.25">
      <c r="B54" s="17" t="s">
        <v>124</v>
      </c>
      <c r="C54" s="17" t="s">
        <v>136</v>
      </c>
      <c r="D54" s="17" t="s">
        <v>135</v>
      </c>
      <c r="E54" s="18">
        <v>177457</v>
      </c>
      <c r="F54" s="24">
        <v>0</v>
      </c>
      <c r="T54" s="16" t="s">
        <v>227</v>
      </c>
      <c r="U54" s="17" t="s">
        <v>229</v>
      </c>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row>
    <row r="55" spans="2:104" outlineLevel="1" x14ac:dyDescent="0.25">
      <c r="B55" s="17" t="s">
        <v>392</v>
      </c>
      <c r="C55" s="17" t="s">
        <v>398</v>
      </c>
      <c r="D55" s="17" t="s">
        <v>397</v>
      </c>
      <c r="E55" s="18">
        <v>336681</v>
      </c>
      <c r="F55" s="24">
        <v>0</v>
      </c>
      <c r="T55" s="16" t="s">
        <v>198</v>
      </c>
      <c r="U55" s="17" t="s">
        <v>200</v>
      </c>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row>
    <row r="56" spans="2:104" outlineLevel="1" x14ac:dyDescent="0.25">
      <c r="B56" s="17" t="s">
        <v>191</v>
      </c>
      <c r="C56" s="17" t="s">
        <v>195</v>
      </c>
      <c r="D56" s="17" t="s">
        <v>194</v>
      </c>
      <c r="E56" s="18">
        <v>78535</v>
      </c>
      <c r="F56" s="24">
        <v>0</v>
      </c>
      <c r="T56" s="16" t="s">
        <v>331</v>
      </c>
      <c r="U56" s="17" t="s">
        <v>333</v>
      </c>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row>
    <row r="57" spans="2:104" outlineLevel="1" x14ac:dyDescent="0.25">
      <c r="B57" s="17" t="s">
        <v>93</v>
      </c>
      <c r="C57" s="17" t="s">
        <v>106</v>
      </c>
      <c r="D57" s="17" t="s">
        <v>105</v>
      </c>
      <c r="E57" s="18">
        <v>797697</v>
      </c>
      <c r="F57" s="24">
        <v>0</v>
      </c>
      <c r="T57" s="16" t="s">
        <v>314</v>
      </c>
      <c r="U57" s="17" t="s">
        <v>316</v>
      </c>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row>
    <row r="58" spans="2:104" outlineLevel="1" x14ac:dyDescent="0.25">
      <c r="B58" s="17" t="s">
        <v>362</v>
      </c>
      <c r="C58" s="17" t="s">
        <v>366</v>
      </c>
      <c r="D58" s="17" t="s">
        <v>365</v>
      </c>
      <c r="E58" s="18">
        <v>501007</v>
      </c>
      <c r="F58" s="24">
        <v>0</v>
      </c>
      <c r="T58" s="16" t="s">
        <v>310</v>
      </c>
      <c r="U58" s="17" t="s">
        <v>312</v>
      </c>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row>
    <row r="59" spans="2:104" outlineLevel="1" x14ac:dyDescent="0.25">
      <c r="B59" s="17" t="s">
        <v>286</v>
      </c>
      <c r="C59" s="17" t="s">
        <v>290</v>
      </c>
      <c r="D59" s="17" t="s">
        <v>289</v>
      </c>
      <c r="E59" s="18">
        <v>564139</v>
      </c>
      <c r="F59" s="24">
        <v>0</v>
      </c>
      <c r="T59" s="16" t="s">
        <v>20</v>
      </c>
      <c r="U59" s="17" t="s">
        <v>22</v>
      </c>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row>
    <row r="60" spans="2:104" outlineLevel="1" x14ac:dyDescent="0.25">
      <c r="B60" s="17" t="s">
        <v>286</v>
      </c>
      <c r="C60" s="17" t="s">
        <v>285</v>
      </c>
      <c r="D60" s="17" t="s">
        <v>284</v>
      </c>
      <c r="E60" s="18">
        <v>183659</v>
      </c>
      <c r="F60" s="24">
        <v>0</v>
      </c>
      <c r="T60" s="16" t="s">
        <v>210</v>
      </c>
      <c r="U60" s="17" t="s">
        <v>212</v>
      </c>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row>
    <row r="61" spans="2:104" outlineLevel="1" x14ac:dyDescent="0.25">
      <c r="B61" s="17" t="s">
        <v>93</v>
      </c>
      <c r="C61" s="17" t="s">
        <v>102</v>
      </c>
      <c r="D61" s="17" t="s">
        <v>101</v>
      </c>
      <c r="E61" s="18">
        <v>311367</v>
      </c>
      <c r="F61" s="24">
        <v>0</v>
      </c>
      <c r="T61" s="16" t="s">
        <v>401</v>
      </c>
      <c r="U61" s="17" t="s">
        <v>403</v>
      </c>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row>
    <row r="62" spans="2:104" outlineLevel="1" x14ac:dyDescent="0.25">
      <c r="B62" s="17" t="s">
        <v>161</v>
      </c>
      <c r="C62" s="17" t="s">
        <v>173</v>
      </c>
      <c r="D62" s="17" t="s">
        <v>172</v>
      </c>
      <c r="E62" s="18">
        <v>733971</v>
      </c>
      <c r="F62" s="24">
        <v>0</v>
      </c>
      <c r="T62" s="16" t="s">
        <v>14</v>
      </c>
      <c r="U62" s="17" t="s">
        <v>18</v>
      </c>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row>
    <row r="63" spans="2:104" outlineLevel="1" x14ac:dyDescent="0.25">
      <c r="B63" s="17" t="s">
        <v>161</v>
      </c>
      <c r="C63" s="17" t="s">
        <v>169</v>
      </c>
      <c r="D63" s="17" t="s">
        <v>168</v>
      </c>
      <c r="E63" s="18">
        <v>194390</v>
      </c>
      <c r="F63" s="24">
        <v>0</v>
      </c>
      <c r="T63" s="16" t="s">
        <v>14</v>
      </c>
      <c r="U63" s="17" t="s">
        <v>16</v>
      </c>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row>
    <row r="64" spans="2:104" outlineLevel="1" x14ac:dyDescent="0.25">
      <c r="B64" s="17" t="s">
        <v>328</v>
      </c>
      <c r="C64" s="17" t="s">
        <v>327</v>
      </c>
      <c r="D64" s="17" t="s">
        <v>326</v>
      </c>
      <c r="E64" s="18">
        <v>733105</v>
      </c>
      <c r="F64" s="24">
        <v>0</v>
      </c>
      <c r="T64" s="16" t="s">
        <v>109</v>
      </c>
      <c r="U64" s="17" t="s">
        <v>111</v>
      </c>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row>
    <row r="65" spans="2:104" outlineLevel="1" x14ac:dyDescent="0.25">
      <c r="B65" s="17" t="s">
        <v>161</v>
      </c>
      <c r="C65" s="17" t="s">
        <v>165</v>
      </c>
      <c r="D65" s="17" t="s">
        <v>164</v>
      </c>
      <c r="E65" s="18">
        <v>1047585</v>
      </c>
      <c r="F65" s="24">
        <v>0</v>
      </c>
      <c r="T65" s="16" t="s">
        <v>301</v>
      </c>
      <c r="U65" s="17" t="s">
        <v>304</v>
      </c>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row>
    <row r="66" spans="2:104" outlineLevel="1" x14ac:dyDescent="0.25">
      <c r="B66" s="17" t="s">
        <v>345</v>
      </c>
      <c r="C66" s="17" t="s">
        <v>353</v>
      </c>
      <c r="D66" s="17" t="s">
        <v>352</v>
      </c>
      <c r="E66" s="18">
        <v>220184</v>
      </c>
      <c r="F66" s="24">
        <v>0</v>
      </c>
      <c r="T66" s="16" t="s">
        <v>306</v>
      </c>
      <c r="U66" s="17" t="s">
        <v>308</v>
      </c>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row>
    <row r="67" spans="2:104" outlineLevel="1" x14ac:dyDescent="0.25">
      <c r="B67" s="17" t="s">
        <v>115</v>
      </c>
      <c r="C67" s="17" t="s">
        <v>119</v>
      </c>
      <c r="D67" s="17" t="s">
        <v>118</v>
      </c>
      <c r="E67" s="18">
        <v>2584126</v>
      </c>
      <c r="F67" s="24">
        <v>0</v>
      </c>
      <c r="T67" s="16" t="s">
        <v>135</v>
      </c>
      <c r="U67" s="17" t="s">
        <v>137</v>
      </c>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row>
    <row r="68" spans="2:104" outlineLevel="1" x14ac:dyDescent="0.25">
      <c r="B68" s="17" t="s">
        <v>80</v>
      </c>
      <c r="C68" s="17" t="s">
        <v>84</v>
      </c>
      <c r="D68" s="17" t="s">
        <v>83</v>
      </c>
      <c r="E68" s="18">
        <v>807692</v>
      </c>
      <c r="F68" s="24">
        <v>0</v>
      </c>
      <c r="T68" s="16" t="s">
        <v>397</v>
      </c>
      <c r="U68" s="17" t="s">
        <v>399</v>
      </c>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row>
    <row r="69" spans="2:104" outlineLevel="1" x14ac:dyDescent="0.25">
      <c r="B69" s="17" t="s">
        <v>362</v>
      </c>
      <c r="C69" s="17" t="s">
        <v>361</v>
      </c>
      <c r="D69" s="17" t="s">
        <v>360</v>
      </c>
      <c r="E69" s="18">
        <v>292964</v>
      </c>
      <c r="F69" s="24">
        <v>0</v>
      </c>
      <c r="T69" s="16" t="s">
        <v>194</v>
      </c>
      <c r="U69" s="17" t="s">
        <v>196</v>
      </c>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row>
    <row r="70" spans="2:104" outlineLevel="1" x14ac:dyDescent="0.25">
      <c r="B70" s="17" t="s">
        <v>115</v>
      </c>
      <c r="C70" s="17" t="s">
        <v>114</v>
      </c>
      <c r="D70" s="17" t="s">
        <v>113</v>
      </c>
      <c r="E70" s="18">
        <v>1465559</v>
      </c>
      <c r="F70" s="24">
        <v>0</v>
      </c>
      <c r="T70" s="16" t="s">
        <v>105</v>
      </c>
      <c r="U70" s="17" t="s">
        <v>107</v>
      </c>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row>
    <row r="71" spans="2:104" outlineLevel="1" x14ac:dyDescent="0.25">
      <c r="B71" s="17" t="s">
        <v>375</v>
      </c>
      <c r="C71" s="17" t="s">
        <v>374</v>
      </c>
      <c r="D71" s="17" t="s">
        <v>373</v>
      </c>
      <c r="E71" s="18">
        <v>634766</v>
      </c>
      <c r="F71" s="24">
        <v>0</v>
      </c>
      <c r="T71" s="16" t="s">
        <v>365</v>
      </c>
      <c r="U71" s="17" t="s">
        <v>367</v>
      </c>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row>
    <row r="72" spans="2:104" outlineLevel="1" x14ac:dyDescent="0.25">
      <c r="B72" s="17" t="s">
        <v>392</v>
      </c>
      <c r="C72" s="17" t="s">
        <v>391</v>
      </c>
      <c r="D72" s="17" t="s">
        <v>390</v>
      </c>
      <c r="E72" s="18">
        <v>664484</v>
      </c>
      <c r="F72" s="24">
        <v>0</v>
      </c>
      <c r="T72" s="16" t="s">
        <v>289</v>
      </c>
      <c r="U72" s="17" t="s">
        <v>291</v>
      </c>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row>
    <row r="73" spans="2:104" outlineLevel="1" x14ac:dyDescent="0.25">
      <c r="B73" s="17" t="s">
        <v>124</v>
      </c>
      <c r="C73" s="17" t="s">
        <v>132</v>
      </c>
      <c r="D73" s="17" t="s">
        <v>131</v>
      </c>
      <c r="E73" s="18">
        <v>233242</v>
      </c>
      <c r="F73" s="24">
        <v>0</v>
      </c>
      <c r="T73" s="16" t="s">
        <v>155</v>
      </c>
      <c r="U73" s="17" t="s">
        <v>157</v>
      </c>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row>
    <row r="74" spans="2:104" outlineLevel="1" x14ac:dyDescent="0.25">
      <c r="B74" s="17" t="s">
        <v>191</v>
      </c>
      <c r="C74" s="17" t="s">
        <v>190</v>
      </c>
      <c r="D74" s="17" t="s">
        <v>189</v>
      </c>
      <c r="E74" s="18">
        <v>457000</v>
      </c>
      <c r="F74" s="24">
        <v>0</v>
      </c>
      <c r="T74" s="16" t="s">
        <v>101</v>
      </c>
      <c r="U74" s="17" t="s">
        <v>103</v>
      </c>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row>
    <row r="75" spans="2:104" outlineLevel="1" x14ac:dyDescent="0.25">
      <c r="B75" s="17" t="s">
        <v>415</v>
      </c>
      <c r="C75" s="17" t="s">
        <v>419</v>
      </c>
      <c r="D75" s="17" t="s">
        <v>418</v>
      </c>
      <c r="E75" s="18">
        <v>1102905</v>
      </c>
      <c r="F75" s="24">
        <v>0</v>
      </c>
      <c r="T75" s="16" t="s">
        <v>172</v>
      </c>
      <c r="U75" s="17" t="s">
        <v>174</v>
      </c>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row>
    <row r="76" spans="2:104" outlineLevel="1" x14ac:dyDescent="0.25">
      <c r="B76" s="17" t="s">
        <v>415</v>
      </c>
      <c r="C76" s="17" t="s">
        <v>414</v>
      </c>
      <c r="D76" s="17" t="s">
        <v>413</v>
      </c>
      <c r="E76" s="18">
        <v>754572</v>
      </c>
      <c r="F76" s="24">
        <v>0</v>
      </c>
      <c r="T76" s="16" t="s">
        <v>168</v>
      </c>
      <c r="U76" s="17" t="s">
        <v>170</v>
      </c>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row>
    <row r="77" spans="2:104" outlineLevel="1" x14ac:dyDescent="0.25">
      <c r="B77" s="17" t="s">
        <v>3</v>
      </c>
      <c r="C77" s="17" t="s">
        <v>11</v>
      </c>
      <c r="D77" s="17" t="s">
        <v>10</v>
      </c>
      <c r="E77" s="18">
        <v>1756088</v>
      </c>
      <c r="F77" s="24">
        <v>0</v>
      </c>
      <c r="T77" s="16" t="s">
        <v>326</v>
      </c>
      <c r="U77" s="17" t="s">
        <v>329</v>
      </c>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row>
    <row r="78" spans="2:104" outlineLevel="1" x14ac:dyDescent="0.25">
      <c r="B78" s="17" t="s">
        <v>345</v>
      </c>
      <c r="C78" s="17" t="s">
        <v>349</v>
      </c>
      <c r="D78" s="17" t="s">
        <v>348</v>
      </c>
      <c r="E78" s="18">
        <v>557181</v>
      </c>
      <c r="F78" s="24">
        <v>0</v>
      </c>
      <c r="T78" s="16" t="s">
        <v>164</v>
      </c>
      <c r="U78" s="17" t="s">
        <v>166</v>
      </c>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row>
    <row r="79" spans="2:104" outlineLevel="1" x14ac:dyDescent="0.25">
      <c r="B79" s="17" t="s">
        <v>93</v>
      </c>
      <c r="C79" s="17" t="s">
        <v>98</v>
      </c>
      <c r="D79" s="17" t="s">
        <v>97</v>
      </c>
      <c r="E79" s="18">
        <v>572771</v>
      </c>
      <c r="F79" s="24">
        <v>0</v>
      </c>
      <c r="T79" s="16" t="s">
        <v>352</v>
      </c>
      <c r="U79" s="17" t="s">
        <v>354</v>
      </c>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row>
    <row r="80" spans="2:104" outlineLevel="1" x14ac:dyDescent="0.25">
      <c r="B80" s="17" t="s">
        <v>3</v>
      </c>
      <c r="C80" s="17" t="s">
        <v>7</v>
      </c>
      <c r="D80" s="17" t="s">
        <v>6</v>
      </c>
      <c r="E80" s="18">
        <v>422394</v>
      </c>
      <c r="F80" s="24">
        <v>0</v>
      </c>
      <c r="T80" s="16" t="s">
        <v>118</v>
      </c>
      <c r="U80" s="17" t="s">
        <v>120</v>
      </c>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row>
    <row r="81" spans="2:104" outlineLevel="1" x14ac:dyDescent="0.25">
      <c r="B81" s="17" t="s">
        <v>3</v>
      </c>
      <c r="C81" s="17" t="s">
        <v>2</v>
      </c>
      <c r="D81" s="17" t="s">
        <v>1</v>
      </c>
      <c r="E81" s="18">
        <v>751313</v>
      </c>
      <c r="F81" s="24">
        <v>0</v>
      </c>
      <c r="T81" s="16" t="s">
        <v>83</v>
      </c>
      <c r="U81" s="17" t="s">
        <v>85</v>
      </c>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row>
    <row r="82" spans="2:104" outlineLevel="1" x14ac:dyDescent="0.25">
      <c r="B82" s="17" t="s">
        <v>216</v>
      </c>
      <c r="C82" s="17" t="s">
        <v>244</v>
      </c>
      <c r="D82" s="17" t="s">
        <v>243</v>
      </c>
      <c r="E82" s="18">
        <v>2268313</v>
      </c>
      <c r="F82" s="24">
        <v>7.0000000000000007E-2</v>
      </c>
      <c r="T82" s="16" t="s">
        <v>360</v>
      </c>
      <c r="U82" s="17" t="s">
        <v>363</v>
      </c>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row>
    <row r="83" spans="2:104" outlineLevel="1" x14ac:dyDescent="0.25">
      <c r="B83" s="17" t="s">
        <v>249</v>
      </c>
      <c r="C83" s="17" t="s">
        <v>248</v>
      </c>
      <c r="D83" s="17" t="s">
        <v>247</v>
      </c>
      <c r="E83" s="18">
        <v>1259758</v>
      </c>
      <c r="F83" s="24">
        <v>0</v>
      </c>
      <c r="T83" s="16" t="s">
        <v>243</v>
      </c>
      <c r="U83" s="17" t="s">
        <v>245</v>
      </c>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row>
    <row r="84" spans="2:104" outlineLevel="1" x14ac:dyDescent="0.25">
      <c r="B84" s="17" t="s">
        <v>216</v>
      </c>
      <c r="C84" s="17" t="s">
        <v>240</v>
      </c>
      <c r="D84" s="17" t="s">
        <v>239</v>
      </c>
      <c r="E84" s="18">
        <v>1339318</v>
      </c>
      <c r="F84" s="24">
        <v>7.0000000000000007E-2</v>
      </c>
      <c r="T84" s="16" t="s">
        <v>113</v>
      </c>
      <c r="U84" s="17" t="s">
        <v>116</v>
      </c>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row>
    <row r="85" spans="2:104" outlineLevel="1" x14ac:dyDescent="0.25">
      <c r="B85" s="17" t="s">
        <v>216</v>
      </c>
      <c r="C85" s="17" t="s">
        <v>236</v>
      </c>
      <c r="D85" s="17" t="s">
        <v>235</v>
      </c>
      <c r="E85" s="18">
        <v>1424133</v>
      </c>
      <c r="F85" s="24">
        <v>7.0000000000000007E-2</v>
      </c>
      <c r="T85" s="16" t="s">
        <v>373</v>
      </c>
      <c r="U85" s="17" t="s">
        <v>376</v>
      </c>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row>
    <row r="86" spans="2:104" outlineLevel="1" x14ac:dyDescent="0.25">
      <c r="B86" s="17" t="s">
        <v>63</v>
      </c>
      <c r="C86" s="17" t="s">
        <v>67</v>
      </c>
      <c r="D86" s="17" t="s">
        <v>66</v>
      </c>
      <c r="E86" s="18">
        <v>373306</v>
      </c>
      <c r="F86" s="24">
        <v>0</v>
      </c>
      <c r="T86" s="16" t="s">
        <v>390</v>
      </c>
      <c r="U86" s="17" t="s">
        <v>395</v>
      </c>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row>
    <row r="87" spans="2:104" outlineLevel="1" x14ac:dyDescent="0.25">
      <c r="B87" s="17" t="s">
        <v>80</v>
      </c>
      <c r="C87" s="17" t="s">
        <v>79</v>
      </c>
      <c r="D87" s="17" t="s">
        <v>78</v>
      </c>
      <c r="E87" s="18">
        <v>573651</v>
      </c>
      <c r="F87" s="24">
        <v>0</v>
      </c>
      <c r="T87" s="16" t="s">
        <v>390</v>
      </c>
      <c r="U87" s="17" t="s">
        <v>393</v>
      </c>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row>
    <row r="88" spans="2:104" outlineLevel="1" x14ac:dyDescent="0.25">
      <c r="B88" s="17" t="s">
        <v>124</v>
      </c>
      <c r="C88" s="17" t="s">
        <v>128</v>
      </c>
      <c r="D88" s="17" t="s">
        <v>127</v>
      </c>
      <c r="E88" s="18">
        <v>381570</v>
      </c>
      <c r="F88" s="24">
        <v>0</v>
      </c>
      <c r="T88" s="16" t="s">
        <v>189</v>
      </c>
      <c r="U88" s="17" t="s">
        <v>192</v>
      </c>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row>
    <row r="89" spans="2:104" outlineLevel="1" x14ac:dyDescent="0.25">
      <c r="B89" s="17" t="s">
        <v>124</v>
      </c>
      <c r="C89" s="17" t="s">
        <v>123</v>
      </c>
      <c r="D89" s="17" t="s">
        <v>122</v>
      </c>
      <c r="E89" s="18">
        <v>245684</v>
      </c>
      <c r="F89" s="24">
        <v>0</v>
      </c>
      <c r="T89" s="16" t="s">
        <v>10</v>
      </c>
      <c r="U89" s="17" t="s">
        <v>12</v>
      </c>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row>
    <row r="90" spans="2:104" outlineLevel="1" x14ac:dyDescent="0.25">
      <c r="B90" s="17" t="s">
        <v>38</v>
      </c>
      <c r="C90" s="17" t="s">
        <v>42</v>
      </c>
      <c r="D90" s="17" t="s">
        <v>41</v>
      </c>
      <c r="E90" s="18">
        <v>1013386</v>
      </c>
      <c r="F90" s="24">
        <v>0</v>
      </c>
      <c r="T90" s="16" t="s">
        <v>348</v>
      </c>
      <c r="U90" s="17" t="s">
        <v>350</v>
      </c>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row>
    <row r="91" spans="2:104" outlineLevel="1" x14ac:dyDescent="0.25">
      <c r="B91" s="17" t="s">
        <v>38</v>
      </c>
      <c r="C91" s="17" t="s">
        <v>37</v>
      </c>
      <c r="D91" s="17" t="s">
        <v>36</v>
      </c>
      <c r="E91" s="18">
        <v>545908</v>
      </c>
      <c r="F91" s="24">
        <v>0</v>
      </c>
      <c r="T91" s="16" t="s">
        <v>97</v>
      </c>
      <c r="U91" s="17" t="s">
        <v>99</v>
      </c>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row>
    <row r="92" spans="2:104" outlineLevel="1" x14ac:dyDescent="0.25">
      <c r="B92" s="17" t="s">
        <v>93</v>
      </c>
      <c r="C92" s="17" t="s">
        <v>92</v>
      </c>
      <c r="D92" s="17" t="s">
        <v>91</v>
      </c>
      <c r="E92" s="18">
        <v>645201</v>
      </c>
      <c r="F92" s="24">
        <v>0</v>
      </c>
      <c r="T92" s="16" t="s">
        <v>6</v>
      </c>
      <c r="U92" s="17" t="s">
        <v>8</v>
      </c>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row>
    <row r="93" spans="2:104" outlineLevel="1" x14ac:dyDescent="0.25">
      <c r="B93" s="17" t="s">
        <v>63</v>
      </c>
      <c r="C93" s="17" t="s">
        <v>62</v>
      </c>
      <c r="D93" s="17" t="s">
        <v>61</v>
      </c>
      <c r="E93" s="18">
        <v>431862</v>
      </c>
      <c r="F93" s="24">
        <v>0</v>
      </c>
      <c r="T93" s="16" t="s">
        <v>239</v>
      </c>
      <c r="U93" s="17" t="s">
        <v>241</v>
      </c>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row>
    <row r="94" spans="2:104" outlineLevel="1" x14ac:dyDescent="0.25">
      <c r="B94" s="17" t="s">
        <v>178</v>
      </c>
      <c r="C94" s="17" t="s">
        <v>177</v>
      </c>
      <c r="D94" s="17" t="s">
        <v>176</v>
      </c>
      <c r="E94" s="18">
        <v>377943</v>
      </c>
      <c r="F94" s="24">
        <v>0</v>
      </c>
      <c r="T94" s="16" t="s">
        <v>247</v>
      </c>
      <c r="U94" s="17" t="s">
        <v>252</v>
      </c>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row>
    <row r="95" spans="2:104" outlineLevel="1" x14ac:dyDescent="0.25">
      <c r="B95" s="17" t="s">
        <v>161</v>
      </c>
      <c r="C95" s="17" t="s">
        <v>160</v>
      </c>
      <c r="D95" s="17" t="s">
        <v>159</v>
      </c>
      <c r="E95" s="18">
        <v>380639</v>
      </c>
      <c r="F95" s="24">
        <v>0</v>
      </c>
      <c r="T95" s="16" t="s">
        <v>247</v>
      </c>
      <c r="U95" s="17" t="s">
        <v>250</v>
      </c>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row>
    <row r="96" spans="2:104" outlineLevel="1" x14ac:dyDescent="0.25">
      <c r="B96" s="17" t="s">
        <v>345</v>
      </c>
      <c r="C96" s="17" t="s">
        <v>344</v>
      </c>
      <c r="D96" s="17" t="s">
        <v>343</v>
      </c>
      <c r="E96" s="18">
        <v>343445</v>
      </c>
      <c r="F96" s="24">
        <v>0</v>
      </c>
      <c r="T96" s="16" t="s">
        <v>223</v>
      </c>
      <c r="U96" s="17" t="s">
        <v>225</v>
      </c>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row>
    <row r="97" spans="2:104" outlineLevel="1" x14ac:dyDescent="0.25">
      <c r="B97" s="17" t="s">
        <v>268</v>
      </c>
      <c r="C97" s="17" t="s">
        <v>267</v>
      </c>
      <c r="D97" s="17" t="s">
        <v>266</v>
      </c>
      <c r="E97" s="18">
        <v>107879.25</v>
      </c>
      <c r="F97" s="24">
        <v>0</v>
      </c>
      <c r="T97" s="16" t="s">
        <v>78</v>
      </c>
      <c r="U97" s="17" t="s">
        <v>81</v>
      </c>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row>
    <row r="98" spans="2:104" outlineLevel="1" x14ac:dyDescent="0.25">
      <c r="B98" s="17" t="s">
        <v>216</v>
      </c>
      <c r="C98" s="17" t="s">
        <v>232</v>
      </c>
      <c r="D98" s="17" t="s">
        <v>231</v>
      </c>
      <c r="E98" s="18">
        <v>1228598</v>
      </c>
      <c r="F98" s="24">
        <v>7.0000000000000007E-2</v>
      </c>
      <c r="T98" s="16" t="s">
        <v>127</v>
      </c>
      <c r="U98" s="17" t="s">
        <v>129</v>
      </c>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row>
    <row r="99" spans="2:104" outlineLevel="1" x14ac:dyDescent="0.25">
      <c r="B99" s="17" t="s">
        <v>216</v>
      </c>
      <c r="C99" s="17" t="s">
        <v>228</v>
      </c>
      <c r="D99" s="17" t="s">
        <v>227</v>
      </c>
      <c r="E99" s="18">
        <v>1589645</v>
      </c>
      <c r="F99" s="24">
        <v>7.0000000000000007E-2</v>
      </c>
      <c r="T99" s="16" t="s">
        <v>122</v>
      </c>
      <c r="U99" s="17" t="s">
        <v>125</v>
      </c>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row>
    <row r="100" spans="2:104" outlineLevel="1" x14ac:dyDescent="0.25">
      <c r="B100" s="17" t="s">
        <v>216</v>
      </c>
      <c r="C100" s="17" t="s">
        <v>224</v>
      </c>
      <c r="D100" s="17" t="s">
        <v>223</v>
      </c>
      <c r="E100" s="18">
        <v>1538652</v>
      </c>
      <c r="F100" s="24">
        <v>7.0000000000000007E-2</v>
      </c>
      <c r="T100" s="16" t="s">
        <v>266</v>
      </c>
      <c r="U100" s="17" t="s">
        <v>269</v>
      </c>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row>
    <row r="101" spans="2:104" outlineLevel="1" x14ac:dyDescent="0.25">
      <c r="B101" s="17" t="s">
        <v>216</v>
      </c>
      <c r="C101" s="17" t="s">
        <v>220</v>
      </c>
      <c r="D101" s="17" t="s">
        <v>219</v>
      </c>
      <c r="E101" s="18">
        <v>1342216</v>
      </c>
      <c r="F101" s="24">
        <v>7.0000000000000007E-2</v>
      </c>
      <c r="T101" s="16" t="s">
        <v>219</v>
      </c>
      <c r="U101" s="17" t="s">
        <v>221</v>
      </c>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row>
    <row r="102" spans="2:104" outlineLevel="1" x14ac:dyDescent="0.25">
      <c r="B102" s="17" t="s">
        <v>216</v>
      </c>
      <c r="C102" s="17" t="s">
        <v>215</v>
      </c>
      <c r="D102" s="17" t="s">
        <v>214</v>
      </c>
      <c r="E102" s="18">
        <v>1183937</v>
      </c>
      <c r="F102" s="24">
        <v>7.0000000000000007E-2</v>
      </c>
      <c r="T102" s="16" t="s">
        <v>214</v>
      </c>
      <c r="U102" s="17" t="s">
        <v>217</v>
      </c>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row>
    <row r="103" spans="2:104" outlineLevel="1" x14ac:dyDescent="0.25">
      <c r="B103" s="17" t="s">
        <v>262</v>
      </c>
      <c r="C103" s="17" t="s">
        <v>263</v>
      </c>
      <c r="D103" s="17" t="s">
        <v>262</v>
      </c>
      <c r="E103" s="18">
        <v>403977</v>
      </c>
      <c r="F103" s="24">
        <v>0.26</v>
      </c>
      <c r="T103" s="16" t="s">
        <v>41</v>
      </c>
      <c r="U103" s="17" t="s">
        <v>43</v>
      </c>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row>
    <row r="104" spans="2:104" outlineLevel="1" x14ac:dyDescent="0.25">
      <c r="B104" s="17" t="s">
        <v>155</v>
      </c>
      <c r="C104" s="17" t="s">
        <v>156</v>
      </c>
      <c r="D104" s="17" t="s">
        <v>155</v>
      </c>
      <c r="E104" s="18">
        <v>390371</v>
      </c>
      <c r="F104" s="24">
        <v>0.26</v>
      </c>
      <c r="T104" s="16" t="s">
        <v>36</v>
      </c>
      <c r="U104" s="17" t="s">
        <v>39</v>
      </c>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row>
    <row r="105" spans="2:104" outlineLevel="1" x14ac:dyDescent="0.25">
      <c r="B105" s="17" t="s">
        <v>258</v>
      </c>
      <c r="C105" s="17" t="s">
        <v>259</v>
      </c>
      <c r="D105" s="17" t="s">
        <v>258</v>
      </c>
      <c r="E105" s="18">
        <v>239450</v>
      </c>
      <c r="F105" s="24">
        <v>0.26</v>
      </c>
      <c r="T105" s="16" t="s">
        <v>91</v>
      </c>
      <c r="U105" s="17" t="s">
        <v>94</v>
      </c>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row>
    <row r="106" spans="2:104" outlineLevel="1" x14ac:dyDescent="0.25">
      <c r="B106" s="17" t="s">
        <v>210</v>
      </c>
      <c r="C106" s="17" t="s">
        <v>211</v>
      </c>
      <c r="D106" s="17" t="s">
        <v>210</v>
      </c>
      <c r="E106" s="18">
        <v>837868</v>
      </c>
      <c r="F106" s="24">
        <v>0.31</v>
      </c>
      <c r="T106" s="16" t="s">
        <v>61</v>
      </c>
      <c r="U106" s="17" t="s">
        <v>64</v>
      </c>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row>
    <row r="107" spans="2:104" outlineLevel="1" x14ac:dyDescent="0.25">
      <c r="T107" s="16" t="s">
        <v>159</v>
      </c>
      <c r="U107" s="17" t="s">
        <v>162</v>
      </c>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row>
    <row r="108" spans="2:104" outlineLevel="1" x14ac:dyDescent="0.25">
      <c r="T108" s="16" t="s">
        <v>343</v>
      </c>
      <c r="U108" s="17" t="s">
        <v>346</v>
      </c>
    </row>
    <row r="109" spans="2:104" outlineLevel="1" x14ac:dyDescent="0.25">
      <c r="T109" s="16" t="s">
        <v>235</v>
      </c>
      <c r="U109" s="17" t="s">
        <v>237</v>
      </c>
    </row>
    <row r="110" spans="2:104" outlineLevel="1" x14ac:dyDescent="0.25"/>
    <row r="112" spans="2:104" x14ac:dyDescent="0.25">
      <c r="O112" s="16" t="s">
        <v>494</v>
      </c>
      <c r="P112" s="16" t="s">
        <v>493</v>
      </c>
    </row>
    <row r="113" spans="2:22" x14ac:dyDescent="0.25">
      <c r="N113" s="16" t="s">
        <v>424</v>
      </c>
      <c r="O113" s="23">
        <v>0.21203426185031038</v>
      </c>
      <c r="P113" s="23">
        <v>0.26927088396091836</v>
      </c>
    </row>
    <row r="114" spans="2:22" ht="15.75" x14ac:dyDescent="0.25">
      <c r="B114" s="2" t="s">
        <v>466</v>
      </c>
      <c r="N114" s="16" t="s">
        <v>488</v>
      </c>
      <c r="O114" s="23">
        <v>0.11242132677421689</v>
      </c>
      <c r="P114" s="23">
        <v>0.14399967300670335</v>
      </c>
    </row>
    <row r="116" spans="2:22" ht="15.75" thickBot="1" x14ac:dyDescent="0.3"/>
    <row r="117" spans="2:22" ht="51.75" thickBot="1" x14ac:dyDescent="0.3">
      <c r="B117" s="43" t="s">
        <v>423</v>
      </c>
      <c r="C117" s="44" t="s">
        <v>479</v>
      </c>
      <c r="D117" s="45" t="s">
        <v>480</v>
      </c>
      <c r="E117" s="44" t="s">
        <v>422</v>
      </c>
      <c r="F117" s="45" t="s">
        <v>481</v>
      </c>
      <c r="G117" s="46" t="s">
        <v>421</v>
      </c>
      <c r="H117" s="47" t="s">
        <v>482</v>
      </c>
      <c r="I117" s="48" t="s">
        <v>483</v>
      </c>
      <c r="J117" s="49" t="s">
        <v>484</v>
      </c>
      <c r="K117" s="50" t="s">
        <v>485</v>
      </c>
      <c r="L117" s="47" t="s">
        <v>486</v>
      </c>
      <c r="M117" s="47" t="s">
        <v>487</v>
      </c>
      <c r="N117" s="88" t="s">
        <v>489</v>
      </c>
      <c r="O117" s="51" t="s">
        <v>490</v>
      </c>
      <c r="P117" s="88" t="s">
        <v>491</v>
      </c>
      <c r="Q117" s="88" t="s">
        <v>492</v>
      </c>
      <c r="R117" s="107" t="s">
        <v>533</v>
      </c>
      <c r="S117" s="107" t="s">
        <v>561</v>
      </c>
      <c r="T117" s="107" t="s">
        <v>610</v>
      </c>
      <c r="U117" s="107" t="s">
        <v>602</v>
      </c>
      <c r="V117" s="107" t="s">
        <v>604</v>
      </c>
    </row>
    <row r="118" spans="2:22" x14ac:dyDescent="0.25">
      <c r="B118" s="105" t="s">
        <v>505</v>
      </c>
      <c r="C118" s="97"/>
      <c r="D118" s="98"/>
      <c r="E118" s="97"/>
      <c r="F118" s="98"/>
      <c r="G118" s="99"/>
      <c r="H118" s="100"/>
      <c r="I118" s="101"/>
      <c r="J118" s="102"/>
      <c r="K118" s="101"/>
      <c r="L118" s="102"/>
      <c r="M118" s="102"/>
      <c r="N118" s="103"/>
      <c r="O118" s="104"/>
      <c r="P118" s="103"/>
      <c r="Q118" s="103"/>
      <c r="R118" s="108"/>
      <c r="S118" s="108"/>
      <c r="T118" s="108"/>
      <c r="U118" s="108"/>
      <c r="V118" s="108"/>
    </row>
    <row r="119" spans="2:22" x14ac:dyDescent="0.25">
      <c r="B119" s="52" t="s">
        <v>420</v>
      </c>
      <c r="C119" s="7" t="s">
        <v>15</v>
      </c>
      <c r="D119" s="5" t="s">
        <v>415</v>
      </c>
      <c r="E119" s="53" t="s">
        <v>419</v>
      </c>
      <c r="F119" s="5" t="s">
        <v>418</v>
      </c>
      <c r="G119" s="54" t="s">
        <v>417</v>
      </c>
      <c r="H119" s="55">
        <v>151428</v>
      </c>
      <c r="I119" s="6">
        <f t="shared" ref="I119:I150" si="0">IF(N119&gt;$O$114,IF(N119&gt;$O$113,$O$113*M119,H119),$O$114*M119)</f>
        <v>151428</v>
      </c>
      <c r="J119" s="6">
        <v>323635</v>
      </c>
      <c r="K119" s="6">
        <f t="shared" ref="K119:K150" si="1">IF(P119&gt;$P$114,IF(P119&gt;$P$113,$P$113*M119,J119),$P$114*M119)</f>
        <v>296980.20427491667</v>
      </c>
      <c r="L119" s="56">
        <v>0.26918403465673457</v>
      </c>
      <c r="M119" s="64">
        <v>1102905</v>
      </c>
      <c r="N119" s="89">
        <f t="shared" ref="N119:N150" si="2">H119/M119</f>
        <v>0.13729922341452799</v>
      </c>
      <c r="O119" s="89">
        <f t="shared" ref="O119:O150" si="3">+I119/M119</f>
        <v>0.13729922341452799</v>
      </c>
      <c r="P119" s="89">
        <f t="shared" ref="P119:P150" si="4">+J119/M119</f>
        <v>0.29343869145574641</v>
      </c>
      <c r="Q119" s="89">
        <f>+K119/M119</f>
        <v>0.26927088396091836</v>
      </c>
      <c r="R119" s="109">
        <v>1</v>
      </c>
      <c r="S119" s="109"/>
      <c r="T119" s="170"/>
      <c r="U119" s="170"/>
      <c r="V119" s="170"/>
    </row>
    <row r="120" spans="2:22" x14ac:dyDescent="0.25">
      <c r="B120" s="52" t="s">
        <v>416</v>
      </c>
      <c r="C120" s="7" t="s">
        <v>15</v>
      </c>
      <c r="D120" s="5" t="s">
        <v>415</v>
      </c>
      <c r="E120" s="53" t="s">
        <v>414</v>
      </c>
      <c r="F120" s="5" t="s">
        <v>413</v>
      </c>
      <c r="G120" s="54" t="s">
        <v>412</v>
      </c>
      <c r="H120" s="55">
        <v>74255</v>
      </c>
      <c r="I120" s="6">
        <f t="shared" si="0"/>
        <v>84829.98538667438</v>
      </c>
      <c r="J120" s="6">
        <v>170469</v>
      </c>
      <c r="K120" s="6">
        <f t="shared" si="1"/>
        <v>170469</v>
      </c>
      <c r="L120" s="56">
        <v>0.33391690795232642</v>
      </c>
      <c r="M120" s="64">
        <v>754572</v>
      </c>
      <c r="N120" s="89">
        <f t="shared" si="2"/>
        <v>9.8406778942234804E-2</v>
      </c>
      <c r="O120" s="89">
        <f t="shared" si="3"/>
        <v>0.11242132677421689</v>
      </c>
      <c r="P120" s="89">
        <f t="shared" si="4"/>
        <v>0.22591482323754394</v>
      </c>
      <c r="Q120" s="89">
        <f t="shared" ref="Q120:Q183" si="5">+K120/M120</f>
        <v>0.22591482323754394</v>
      </c>
      <c r="R120" s="109">
        <v>1</v>
      </c>
      <c r="S120" s="109"/>
      <c r="T120" s="170"/>
      <c r="U120" s="170"/>
      <c r="V120" s="170"/>
    </row>
    <row r="121" spans="2:22" x14ac:dyDescent="0.25">
      <c r="B121" s="57" t="s">
        <v>411</v>
      </c>
      <c r="C121" s="12" t="s">
        <v>98</v>
      </c>
      <c r="D121" s="11" t="s">
        <v>392</v>
      </c>
      <c r="E121" s="58" t="s">
        <v>410</v>
      </c>
      <c r="F121" s="11" t="s">
        <v>409</v>
      </c>
      <c r="G121" s="59" t="s">
        <v>408</v>
      </c>
      <c r="H121" s="60">
        <v>131228</v>
      </c>
      <c r="I121" s="61">
        <f t="shared" si="0"/>
        <v>89287.627665165695</v>
      </c>
      <c r="J121" s="61">
        <v>149615</v>
      </c>
      <c r="K121" s="61">
        <f t="shared" si="1"/>
        <v>113389.96923594273</v>
      </c>
      <c r="L121" s="62">
        <v>0.31983805668016196</v>
      </c>
      <c r="M121" s="61">
        <v>421100</v>
      </c>
      <c r="N121" s="90">
        <f t="shared" si="2"/>
        <v>0.31163144146283545</v>
      </c>
      <c r="O121" s="90">
        <f t="shared" si="3"/>
        <v>0.21203426185031038</v>
      </c>
      <c r="P121" s="90">
        <f t="shared" si="4"/>
        <v>0.35529565423889814</v>
      </c>
      <c r="Q121" s="90">
        <f t="shared" si="5"/>
        <v>0.26927088396091836</v>
      </c>
      <c r="R121" s="110">
        <v>1</v>
      </c>
      <c r="S121" s="110"/>
      <c r="T121" s="171"/>
      <c r="U121" s="171"/>
      <c r="V121" s="171"/>
    </row>
    <row r="122" spans="2:22" x14ac:dyDescent="0.25">
      <c r="B122" s="52" t="s">
        <v>407</v>
      </c>
      <c r="C122" s="7" t="s">
        <v>98</v>
      </c>
      <c r="D122" s="5" t="s">
        <v>392</v>
      </c>
      <c r="E122" s="53" t="s">
        <v>406</v>
      </c>
      <c r="F122" s="5" t="s">
        <v>405</v>
      </c>
      <c r="G122" s="54" t="s">
        <v>404</v>
      </c>
      <c r="H122" s="63">
        <v>254749</v>
      </c>
      <c r="I122" s="64">
        <f t="shared" si="0"/>
        <v>254749</v>
      </c>
      <c r="J122" s="64">
        <v>315728</v>
      </c>
      <c r="K122" s="64">
        <f t="shared" si="1"/>
        <v>315728</v>
      </c>
      <c r="L122" s="65">
        <v>0.41528239202657807</v>
      </c>
      <c r="M122" s="64">
        <v>1473569</v>
      </c>
      <c r="N122" s="89">
        <f t="shared" si="2"/>
        <v>0.17287890828322258</v>
      </c>
      <c r="O122" s="89">
        <f t="shared" si="3"/>
        <v>0.17287890828322258</v>
      </c>
      <c r="P122" s="89">
        <f t="shared" si="4"/>
        <v>0.21426075059939506</v>
      </c>
      <c r="Q122" s="89">
        <f t="shared" si="5"/>
        <v>0.21426075059939506</v>
      </c>
      <c r="R122" s="109">
        <v>1</v>
      </c>
      <c r="S122" s="109"/>
      <c r="T122" s="170"/>
      <c r="U122" s="170"/>
      <c r="V122" s="170"/>
    </row>
    <row r="123" spans="2:22" x14ac:dyDescent="0.25">
      <c r="B123" s="52" t="s">
        <v>403</v>
      </c>
      <c r="C123" s="7" t="s">
        <v>98</v>
      </c>
      <c r="D123" s="5" t="s">
        <v>392</v>
      </c>
      <c r="E123" s="53" t="s">
        <v>402</v>
      </c>
      <c r="F123" s="5" t="s">
        <v>401</v>
      </c>
      <c r="G123" s="54" t="s">
        <v>400</v>
      </c>
      <c r="H123" s="63">
        <v>95283</v>
      </c>
      <c r="I123" s="64">
        <f t="shared" si="0"/>
        <v>82856.84053750764</v>
      </c>
      <c r="J123" s="64">
        <v>112802</v>
      </c>
      <c r="K123" s="64">
        <f t="shared" si="1"/>
        <v>105223.25259629203</v>
      </c>
      <c r="L123" s="65">
        <v>0.26125331906006316</v>
      </c>
      <c r="M123" s="64">
        <v>390771</v>
      </c>
      <c r="N123" s="89">
        <f t="shared" si="2"/>
        <v>0.24383334484902922</v>
      </c>
      <c r="O123" s="89">
        <f t="shared" si="3"/>
        <v>0.21203426185031038</v>
      </c>
      <c r="P123" s="89">
        <f t="shared" si="4"/>
        <v>0.28866522848420173</v>
      </c>
      <c r="Q123" s="89">
        <f t="shared" si="5"/>
        <v>0.26927088396091836</v>
      </c>
      <c r="R123" s="109">
        <v>1</v>
      </c>
      <c r="S123" s="109"/>
      <c r="T123" s="170"/>
      <c r="U123" s="170"/>
      <c r="V123" s="170"/>
    </row>
    <row r="124" spans="2:22" x14ac:dyDescent="0.25">
      <c r="B124" s="52" t="s">
        <v>399</v>
      </c>
      <c r="C124" s="7" t="s">
        <v>98</v>
      </c>
      <c r="D124" s="5" t="s">
        <v>392</v>
      </c>
      <c r="E124" s="53" t="s">
        <v>398</v>
      </c>
      <c r="F124" s="5" t="s">
        <v>397</v>
      </c>
      <c r="G124" s="54" t="s">
        <v>396</v>
      </c>
      <c r="H124" s="63">
        <v>60000</v>
      </c>
      <c r="I124" s="64">
        <f t="shared" si="0"/>
        <v>60000</v>
      </c>
      <c r="J124" s="64">
        <v>80000</v>
      </c>
      <c r="K124" s="64">
        <f t="shared" si="1"/>
        <v>80000</v>
      </c>
      <c r="L124" s="65">
        <v>0.20754716981132076</v>
      </c>
      <c r="M124" s="64">
        <v>336681</v>
      </c>
      <c r="N124" s="89">
        <f t="shared" si="2"/>
        <v>0.17821023461377386</v>
      </c>
      <c r="O124" s="89">
        <f t="shared" si="3"/>
        <v>0.17821023461377386</v>
      </c>
      <c r="P124" s="89">
        <f t="shared" si="4"/>
        <v>0.2376136461516985</v>
      </c>
      <c r="Q124" s="89">
        <f t="shared" si="5"/>
        <v>0.2376136461516985</v>
      </c>
      <c r="R124" s="109">
        <v>1</v>
      </c>
      <c r="S124" s="109"/>
      <c r="T124" s="170"/>
      <c r="U124" s="170"/>
      <c r="V124" s="170"/>
    </row>
    <row r="125" spans="2:22" x14ac:dyDescent="0.25">
      <c r="B125" s="52" t="s">
        <v>395</v>
      </c>
      <c r="C125" s="7" t="s">
        <v>98</v>
      </c>
      <c r="D125" s="5" t="s">
        <v>392</v>
      </c>
      <c r="E125" s="53" t="s">
        <v>391</v>
      </c>
      <c r="F125" s="5" t="s">
        <v>390</v>
      </c>
      <c r="G125" s="54" t="s">
        <v>394</v>
      </c>
      <c r="H125" s="63">
        <v>68334</v>
      </c>
      <c r="I125" s="64">
        <f t="shared" si="0"/>
        <v>68334</v>
      </c>
      <c r="J125" s="64">
        <v>74600</v>
      </c>
      <c r="K125" s="64">
        <f t="shared" si="1"/>
        <v>74600</v>
      </c>
      <c r="L125" s="65">
        <v>0.28512892557145786</v>
      </c>
      <c r="M125" s="64">
        <v>326376.8268307409</v>
      </c>
      <c r="N125" s="89">
        <f t="shared" si="2"/>
        <v>0.20937148223283031</v>
      </c>
      <c r="O125" s="89">
        <f t="shared" si="3"/>
        <v>0.20937148223283031</v>
      </c>
      <c r="P125" s="89">
        <f t="shared" si="4"/>
        <v>0.22857014918736121</v>
      </c>
      <c r="Q125" s="89">
        <f t="shared" si="5"/>
        <v>0.22857014918736121</v>
      </c>
      <c r="R125" s="109">
        <v>0.5</v>
      </c>
      <c r="S125" s="109" t="s">
        <v>562</v>
      </c>
      <c r="T125" s="170"/>
      <c r="U125" s="170"/>
      <c r="V125" s="170"/>
    </row>
    <row r="126" spans="2:22" x14ac:dyDescent="0.25">
      <c r="B126" s="52" t="s">
        <v>393</v>
      </c>
      <c r="C126" s="7" t="s">
        <v>98</v>
      </c>
      <c r="D126" s="5" t="s">
        <v>392</v>
      </c>
      <c r="E126" s="53" t="s">
        <v>391</v>
      </c>
      <c r="F126" s="5" t="s">
        <v>390</v>
      </c>
      <c r="G126" s="54" t="s">
        <v>389</v>
      </c>
      <c r="H126" s="63">
        <v>70790</v>
      </c>
      <c r="I126" s="64">
        <f t="shared" si="0"/>
        <v>70790</v>
      </c>
      <c r="J126" s="64">
        <v>99842</v>
      </c>
      <c r="K126" s="64">
        <f t="shared" si="1"/>
        <v>91042.417392813702</v>
      </c>
      <c r="L126" s="65">
        <v>0.27405000706314453</v>
      </c>
      <c r="M126" s="64">
        <v>338107.1731692591</v>
      </c>
      <c r="N126" s="89">
        <f t="shared" si="2"/>
        <v>0.20937148223283028</v>
      </c>
      <c r="O126" s="89">
        <f t="shared" si="3"/>
        <v>0.20937148223283028</v>
      </c>
      <c r="P126" s="89">
        <f t="shared" si="4"/>
        <v>0.29529689969049638</v>
      </c>
      <c r="Q126" s="89">
        <f t="shared" si="5"/>
        <v>0.26927088396091836</v>
      </c>
      <c r="R126" s="109">
        <v>0.5</v>
      </c>
      <c r="S126" s="109" t="s">
        <v>562</v>
      </c>
      <c r="T126" s="170"/>
      <c r="U126" s="170"/>
      <c r="V126" s="170"/>
    </row>
    <row r="127" spans="2:22" x14ac:dyDescent="0.25">
      <c r="B127" s="57" t="s">
        <v>388</v>
      </c>
      <c r="C127" s="12" t="s">
        <v>42</v>
      </c>
      <c r="D127" s="11" t="s">
        <v>375</v>
      </c>
      <c r="E127" s="58" t="s">
        <v>387</v>
      </c>
      <c r="F127" s="11" t="s">
        <v>386</v>
      </c>
      <c r="G127" s="59" t="s">
        <v>385</v>
      </c>
      <c r="H127" s="60">
        <v>83755</v>
      </c>
      <c r="I127" s="61">
        <f t="shared" si="0"/>
        <v>72990.674299350838</v>
      </c>
      <c r="J127" s="61">
        <v>88264</v>
      </c>
      <c r="K127" s="61">
        <f t="shared" si="1"/>
        <v>88264</v>
      </c>
      <c r="L127" s="62">
        <v>0.31044116769148111</v>
      </c>
      <c r="M127" s="61">
        <v>344240</v>
      </c>
      <c r="N127" s="90">
        <f t="shared" si="2"/>
        <v>0.24330409016964907</v>
      </c>
      <c r="O127" s="90">
        <f t="shared" si="3"/>
        <v>0.21203426185031035</v>
      </c>
      <c r="P127" s="90">
        <f t="shared" si="4"/>
        <v>0.25640250987683011</v>
      </c>
      <c r="Q127" s="90">
        <f t="shared" si="5"/>
        <v>0.25640250987683011</v>
      </c>
      <c r="R127" s="110">
        <v>1</v>
      </c>
      <c r="S127" s="110"/>
      <c r="T127" s="171"/>
      <c r="U127" s="171"/>
      <c r="V127" s="171"/>
    </row>
    <row r="128" spans="2:22" x14ac:dyDescent="0.25">
      <c r="B128" s="52" t="s">
        <v>384</v>
      </c>
      <c r="C128" s="7" t="s">
        <v>42</v>
      </c>
      <c r="D128" s="5" t="s">
        <v>375</v>
      </c>
      <c r="E128" s="53" t="s">
        <v>383</v>
      </c>
      <c r="F128" s="5" t="s">
        <v>382</v>
      </c>
      <c r="G128" s="54" t="s">
        <v>381</v>
      </c>
      <c r="H128" s="63">
        <v>29295</v>
      </c>
      <c r="I128" s="64">
        <f t="shared" si="0"/>
        <v>29295</v>
      </c>
      <c r="J128" s="64">
        <v>29296</v>
      </c>
      <c r="K128" s="64">
        <f t="shared" si="1"/>
        <v>29296</v>
      </c>
      <c r="L128" s="65">
        <v>0.21341525857654889</v>
      </c>
      <c r="M128" s="64">
        <v>148737</v>
      </c>
      <c r="N128" s="89">
        <f t="shared" si="2"/>
        <v>0.19695838964077533</v>
      </c>
      <c r="O128" s="89">
        <f t="shared" si="3"/>
        <v>0.19695838964077533</v>
      </c>
      <c r="P128" s="89">
        <f t="shared" si="4"/>
        <v>0.19696511291743143</v>
      </c>
      <c r="Q128" s="89">
        <f t="shared" si="5"/>
        <v>0.19696511291743143</v>
      </c>
      <c r="R128" s="109">
        <v>1</v>
      </c>
      <c r="S128" s="109" t="s">
        <v>562</v>
      </c>
      <c r="T128" s="170"/>
      <c r="U128" s="170"/>
      <c r="V128" s="170"/>
    </row>
    <row r="129" spans="2:22" x14ac:dyDescent="0.25">
      <c r="B129" s="52" t="s">
        <v>380</v>
      </c>
      <c r="C129" s="7" t="s">
        <v>42</v>
      </c>
      <c r="D129" s="5" t="s">
        <v>375</v>
      </c>
      <c r="E129" s="53" t="s">
        <v>379</v>
      </c>
      <c r="F129" s="5" t="s">
        <v>378</v>
      </c>
      <c r="G129" s="54" t="s">
        <v>377</v>
      </c>
      <c r="H129" s="63">
        <v>39355</v>
      </c>
      <c r="I129" s="64">
        <f t="shared" si="0"/>
        <v>39355</v>
      </c>
      <c r="J129" s="64">
        <v>63278</v>
      </c>
      <c r="K129" s="64">
        <f t="shared" si="1"/>
        <v>60552.55930159548</v>
      </c>
      <c r="L129" s="65">
        <v>0.60787701689747176</v>
      </c>
      <c r="M129" s="64">
        <v>224876</v>
      </c>
      <c r="N129" s="89">
        <f t="shared" si="2"/>
        <v>0.17500755972180224</v>
      </c>
      <c r="O129" s="89">
        <f t="shared" si="3"/>
        <v>0.17500755972180224</v>
      </c>
      <c r="P129" s="89">
        <f t="shared" si="4"/>
        <v>0.28139063305999751</v>
      </c>
      <c r="Q129" s="89">
        <f t="shared" si="5"/>
        <v>0.26927088396091836</v>
      </c>
      <c r="R129" s="109">
        <v>1</v>
      </c>
      <c r="S129" s="109" t="s">
        <v>562</v>
      </c>
      <c r="T129" s="170"/>
      <c r="U129" s="170"/>
      <c r="V129" s="170"/>
    </row>
    <row r="130" spans="2:22" x14ac:dyDescent="0.25">
      <c r="B130" s="66" t="s">
        <v>376</v>
      </c>
      <c r="C130" s="10" t="s">
        <v>42</v>
      </c>
      <c r="D130" s="8" t="s">
        <v>375</v>
      </c>
      <c r="E130" s="67" t="s">
        <v>374</v>
      </c>
      <c r="F130" s="8" t="s">
        <v>373</v>
      </c>
      <c r="G130" s="68" t="s">
        <v>372</v>
      </c>
      <c r="H130" s="69">
        <v>120765</v>
      </c>
      <c r="I130" s="70">
        <f t="shared" si="0"/>
        <v>120765</v>
      </c>
      <c r="J130" s="70">
        <v>122000</v>
      </c>
      <c r="K130" s="70">
        <f t="shared" si="1"/>
        <v>122000</v>
      </c>
      <c r="L130" s="71">
        <v>0.35517741067362235</v>
      </c>
      <c r="M130" s="70">
        <v>634766</v>
      </c>
      <c r="N130" s="91">
        <f t="shared" si="2"/>
        <v>0.1902512106823617</v>
      </c>
      <c r="O130" s="91">
        <f t="shared" si="3"/>
        <v>0.1902512106823617</v>
      </c>
      <c r="P130" s="91">
        <f t="shared" si="4"/>
        <v>0.19219680953296175</v>
      </c>
      <c r="Q130" s="91">
        <f t="shared" si="5"/>
        <v>0.19219680953296175</v>
      </c>
      <c r="R130" s="111">
        <v>1</v>
      </c>
      <c r="S130" s="111"/>
      <c r="T130" s="172"/>
      <c r="U130" s="172"/>
      <c r="V130" s="172"/>
    </row>
    <row r="131" spans="2:22" x14ac:dyDescent="0.25">
      <c r="B131" s="52" t="s">
        <v>371</v>
      </c>
      <c r="C131" s="7" t="s">
        <v>272</v>
      </c>
      <c r="D131" s="5" t="s">
        <v>362</v>
      </c>
      <c r="E131" s="53" t="s">
        <v>370</v>
      </c>
      <c r="F131" s="5" t="s">
        <v>369</v>
      </c>
      <c r="G131" s="54" t="s">
        <v>368</v>
      </c>
      <c r="H131" s="63">
        <v>116202</v>
      </c>
      <c r="I131" s="64">
        <f t="shared" si="0"/>
        <v>116202</v>
      </c>
      <c r="J131" s="64">
        <v>152850</v>
      </c>
      <c r="K131" s="64">
        <f t="shared" si="1"/>
        <v>152850</v>
      </c>
      <c r="L131" s="65">
        <v>0.59999827885922785</v>
      </c>
      <c r="M131" s="64">
        <v>686200</v>
      </c>
      <c r="N131" s="89">
        <f t="shared" si="2"/>
        <v>0.16934129991256194</v>
      </c>
      <c r="O131" s="89">
        <f t="shared" si="3"/>
        <v>0.16934129991256194</v>
      </c>
      <c r="P131" s="89">
        <f t="shared" si="4"/>
        <v>0.22274846983386767</v>
      </c>
      <c r="Q131" s="89">
        <f t="shared" si="5"/>
        <v>0.22274846983386767</v>
      </c>
      <c r="R131" s="109">
        <v>1</v>
      </c>
      <c r="S131" s="109"/>
      <c r="T131" s="170"/>
      <c r="U131" s="170"/>
      <c r="V131" s="170"/>
    </row>
    <row r="132" spans="2:22" x14ac:dyDescent="0.25">
      <c r="B132" s="52" t="s">
        <v>367</v>
      </c>
      <c r="C132" s="7" t="s">
        <v>272</v>
      </c>
      <c r="D132" s="5" t="s">
        <v>362</v>
      </c>
      <c r="E132" s="53" t="s">
        <v>366</v>
      </c>
      <c r="F132" s="5" t="s">
        <v>365</v>
      </c>
      <c r="G132" s="54" t="s">
        <v>364</v>
      </c>
      <c r="H132" s="63">
        <v>77570</v>
      </c>
      <c r="I132" s="64">
        <f t="shared" si="0"/>
        <v>77570</v>
      </c>
      <c r="J132" s="64">
        <v>95533</v>
      </c>
      <c r="K132" s="64">
        <f t="shared" si="1"/>
        <v>95533</v>
      </c>
      <c r="L132" s="65">
        <v>0.38235294117647056</v>
      </c>
      <c r="M132" s="64">
        <v>501007</v>
      </c>
      <c r="N132" s="89">
        <f t="shared" si="2"/>
        <v>0.15482817605342838</v>
      </c>
      <c r="O132" s="89">
        <f t="shared" si="3"/>
        <v>0.15482817605342838</v>
      </c>
      <c r="P132" s="89">
        <f t="shared" si="4"/>
        <v>0.19068196651942987</v>
      </c>
      <c r="Q132" s="89">
        <f t="shared" si="5"/>
        <v>0.19068196651942987</v>
      </c>
      <c r="R132" s="109">
        <v>1</v>
      </c>
      <c r="S132" s="109"/>
      <c r="T132" s="170"/>
      <c r="U132" s="170"/>
      <c r="V132" s="170"/>
    </row>
    <row r="133" spans="2:22" x14ac:dyDescent="0.25">
      <c r="B133" s="52" t="s">
        <v>363</v>
      </c>
      <c r="C133" s="7" t="s">
        <v>272</v>
      </c>
      <c r="D133" s="5" t="s">
        <v>362</v>
      </c>
      <c r="E133" s="53" t="s">
        <v>361</v>
      </c>
      <c r="F133" s="5" t="s">
        <v>360</v>
      </c>
      <c r="G133" s="54" t="s">
        <v>359</v>
      </c>
      <c r="H133" s="63">
        <v>65133</v>
      </c>
      <c r="I133" s="64">
        <f t="shared" si="0"/>
        <v>62118.405488714328</v>
      </c>
      <c r="J133" s="64">
        <v>65133</v>
      </c>
      <c r="K133" s="64">
        <f t="shared" si="1"/>
        <v>65133</v>
      </c>
      <c r="L133" s="65">
        <v>0.33069258286889902</v>
      </c>
      <c r="M133" s="64">
        <v>292964</v>
      </c>
      <c r="N133" s="89">
        <f t="shared" si="2"/>
        <v>0.22232424461708605</v>
      </c>
      <c r="O133" s="89">
        <f t="shared" si="3"/>
        <v>0.21203426185031038</v>
      </c>
      <c r="P133" s="89">
        <f t="shared" si="4"/>
        <v>0.22232424461708605</v>
      </c>
      <c r="Q133" s="89">
        <f t="shared" si="5"/>
        <v>0.22232424461708605</v>
      </c>
      <c r="R133" s="109">
        <v>1</v>
      </c>
      <c r="S133" s="109"/>
      <c r="T133" s="170"/>
      <c r="U133" s="170"/>
      <c r="V133" s="170"/>
    </row>
    <row r="134" spans="2:22" x14ac:dyDescent="0.25">
      <c r="B134" s="57" t="s">
        <v>358</v>
      </c>
      <c r="C134" s="12" t="s">
        <v>25</v>
      </c>
      <c r="D134" s="11" t="s">
        <v>345</v>
      </c>
      <c r="E134" s="58" t="s">
        <v>357</v>
      </c>
      <c r="F134" s="11" t="s">
        <v>356</v>
      </c>
      <c r="G134" s="59" t="s">
        <v>355</v>
      </c>
      <c r="H134" s="60">
        <v>73606</v>
      </c>
      <c r="I134" s="61">
        <f t="shared" si="0"/>
        <v>73606</v>
      </c>
      <c r="J134" s="61">
        <v>79429</v>
      </c>
      <c r="K134" s="61">
        <f t="shared" si="1"/>
        <v>79429</v>
      </c>
      <c r="L134" s="62">
        <v>0.3672119120723854</v>
      </c>
      <c r="M134" s="61">
        <v>525790</v>
      </c>
      <c r="N134" s="90">
        <f t="shared" si="2"/>
        <v>0.13999125126000875</v>
      </c>
      <c r="O134" s="90">
        <f t="shared" si="3"/>
        <v>0.13999125126000875</v>
      </c>
      <c r="P134" s="90">
        <f t="shared" si="4"/>
        <v>0.15106601494893399</v>
      </c>
      <c r="Q134" s="90">
        <f t="shared" si="5"/>
        <v>0.15106601494893399</v>
      </c>
      <c r="R134" s="110">
        <v>1</v>
      </c>
      <c r="S134" s="110"/>
      <c r="T134" s="171"/>
      <c r="U134" s="171"/>
      <c r="V134" s="171"/>
    </row>
    <row r="135" spans="2:22" x14ac:dyDescent="0.25">
      <c r="B135" s="52" t="s">
        <v>354</v>
      </c>
      <c r="C135" s="7" t="s">
        <v>25</v>
      </c>
      <c r="D135" s="5" t="s">
        <v>345</v>
      </c>
      <c r="E135" s="53" t="s">
        <v>353</v>
      </c>
      <c r="F135" s="5" t="s">
        <v>352</v>
      </c>
      <c r="G135" s="54" t="s">
        <v>351</v>
      </c>
      <c r="H135" s="63">
        <v>51525</v>
      </c>
      <c r="I135" s="64">
        <f t="shared" si="0"/>
        <v>46686.551911248738</v>
      </c>
      <c r="J135" s="64">
        <v>54237</v>
      </c>
      <c r="K135" s="64">
        <f t="shared" si="1"/>
        <v>54237</v>
      </c>
      <c r="L135" s="65">
        <v>0.13717612809315866</v>
      </c>
      <c r="M135" s="64">
        <v>220184</v>
      </c>
      <c r="N135" s="89">
        <f t="shared" si="2"/>
        <v>0.23400882897939904</v>
      </c>
      <c r="O135" s="89">
        <f t="shared" si="3"/>
        <v>0.21203426185031038</v>
      </c>
      <c r="P135" s="89">
        <f t="shared" si="4"/>
        <v>0.24632580023979944</v>
      </c>
      <c r="Q135" s="89">
        <f t="shared" si="5"/>
        <v>0.24632580023979944</v>
      </c>
      <c r="R135" s="109">
        <v>1</v>
      </c>
      <c r="S135" s="109"/>
      <c r="T135" s="170"/>
      <c r="U135" s="170"/>
      <c r="V135" s="170"/>
    </row>
    <row r="136" spans="2:22" x14ac:dyDescent="0.25">
      <c r="B136" s="52" t="s">
        <v>350</v>
      </c>
      <c r="C136" s="7" t="s">
        <v>25</v>
      </c>
      <c r="D136" s="5" t="s">
        <v>345</v>
      </c>
      <c r="E136" s="53" t="s">
        <v>349</v>
      </c>
      <c r="F136" s="5" t="s">
        <v>348</v>
      </c>
      <c r="G136" s="54" t="s">
        <v>347</v>
      </c>
      <c r="H136" s="63">
        <v>95714</v>
      </c>
      <c r="I136" s="64">
        <f t="shared" si="0"/>
        <v>95714</v>
      </c>
      <c r="J136" s="64">
        <v>132221</v>
      </c>
      <c r="K136" s="64">
        <f t="shared" si="1"/>
        <v>132221</v>
      </c>
      <c r="L136" s="65">
        <v>0.4161251227615605</v>
      </c>
      <c r="M136" s="64">
        <v>557181</v>
      </c>
      <c r="N136" s="89">
        <f t="shared" si="2"/>
        <v>0.17178259847338656</v>
      </c>
      <c r="O136" s="89">
        <f t="shared" si="3"/>
        <v>0.17178259847338656</v>
      </c>
      <c r="P136" s="89">
        <f t="shared" si="4"/>
        <v>0.23730349742722742</v>
      </c>
      <c r="Q136" s="89">
        <f t="shared" si="5"/>
        <v>0.23730349742722742</v>
      </c>
      <c r="R136" s="109">
        <v>1</v>
      </c>
      <c r="S136" s="109"/>
      <c r="T136" s="170"/>
      <c r="U136" s="170"/>
      <c r="V136" s="170"/>
    </row>
    <row r="137" spans="2:22" x14ac:dyDescent="0.25">
      <c r="B137" s="66" t="s">
        <v>346</v>
      </c>
      <c r="C137" s="10" t="s">
        <v>25</v>
      </c>
      <c r="D137" s="8" t="s">
        <v>345</v>
      </c>
      <c r="E137" s="67" t="s">
        <v>344</v>
      </c>
      <c r="F137" s="8" t="s">
        <v>343</v>
      </c>
      <c r="G137" s="68" t="s">
        <v>342</v>
      </c>
      <c r="H137" s="69">
        <v>42575</v>
      </c>
      <c r="I137" s="70">
        <f t="shared" si="0"/>
        <v>42575</v>
      </c>
      <c r="J137" s="70">
        <v>73584</v>
      </c>
      <c r="K137" s="70">
        <f t="shared" si="1"/>
        <v>73584</v>
      </c>
      <c r="L137" s="71">
        <v>0.33977686435701704</v>
      </c>
      <c r="M137" s="70">
        <v>343445</v>
      </c>
      <c r="N137" s="91">
        <f t="shared" si="2"/>
        <v>0.12396453580631542</v>
      </c>
      <c r="O137" s="91">
        <f t="shared" si="3"/>
        <v>0.12396453580631542</v>
      </c>
      <c r="P137" s="91">
        <f t="shared" si="4"/>
        <v>0.21425264598407315</v>
      </c>
      <c r="Q137" s="91">
        <f t="shared" si="5"/>
        <v>0.21425264598407315</v>
      </c>
      <c r="R137" s="111">
        <v>1</v>
      </c>
      <c r="S137" s="111" t="s">
        <v>562</v>
      </c>
      <c r="T137" s="172"/>
      <c r="U137" s="172"/>
      <c r="V137" s="172"/>
    </row>
    <row r="138" spans="2:22" x14ac:dyDescent="0.25">
      <c r="B138" s="57" t="s">
        <v>341</v>
      </c>
      <c r="C138" s="12" t="s">
        <v>102</v>
      </c>
      <c r="D138" s="11" t="s">
        <v>328</v>
      </c>
      <c r="E138" s="58" t="s">
        <v>340</v>
      </c>
      <c r="F138" s="11" t="s">
        <v>339</v>
      </c>
      <c r="G138" s="59" t="s">
        <v>338</v>
      </c>
      <c r="H138" s="60">
        <v>92699</v>
      </c>
      <c r="I138" s="61">
        <f t="shared" si="0"/>
        <v>92699</v>
      </c>
      <c r="J138" s="61">
        <v>127702</v>
      </c>
      <c r="K138" s="61">
        <f t="shared" si="1"/>
        <v>127702</v>
      </c>
      <c r="L138" s="62">
        <v>0.37846147207628994</v>
      </c>
      <c r="M138" s="61">
        <v>601027</v>
      </c>
      <c r="N138" s="90">
        <f t="shared" si="2"/>
        <v>0.15423433556229588</v>
      </c>
      <c r="O138" s="90">
        <f t="shared" si="3"/>
        <v>0.15423433556229588</v>
      </c>
      <c r="P138" s="90">
        <f t="shared" si="4"/>
        <v>0.21247298374282686</v>
      </c>
      <c r="Q138" s="90">
        <f t="shared" si="5"/>
        <v>0.21247298374282686</v>
      </c>
      <c r="R138" s="110">
        <v>1</v>
      </c>
      <c r="S138" s="110"/>
      <c r="T138" s="171"/>
      <c r="U138" s="171"/>
      <c r="V138" s="171"/>
    </row>
    <row r="139" spans="2:22" x14ac:dyDescent="0.25">
      <c r="B139" s="52" t="s">
        <v>337</v>
      </c>
      <c r="C139" s="7" t="s">
        <v>102</v>
      </c>
      <c r="D139" s="5" t="s">
        <v>328</v>
      </c>
      <c r="E139" s="53" t="s">
        <v>336</v>
      </c>
      <c r="F139" s="5" t="s">
        <v>335</v>
      </c>
      <c r="G139" s="54" t="s">
        <v>334</v>
      </c>
      <c r="H139" s="63">
        <v>151222</v>
      </c>
      <c r="I139" s="64">
        <f t="shared" si="0"/>
        <v>151222</v>
      </c>
      <c r="J139" s="64">
        <v>156993</v>
      </c>
      <c r="K139" s="64">
        <f t="shared" si="1"/>
        <v>156993</v>
      </c>
      <c r="L139" s="65">
        <v>0.32393434817685257</v>
      </c>
      <c r="M139" s="64">
        <v>911868</v>
      </c>
      <c r="N139" s="89">
        <f t="shared" si="2"/>
        <v>0.16583759930165332</v>
      </c>
      <c r="O139" s="89">
        <f t="shared" si="3"/>
        <v>0.16583759930165332</v>
      </c>
      <c r="P139" s="89">
        <f t="shared" si="4"/>
        <v>0.17216636618457934</v>
      </c>
      <c r="Q139" s="89">
        <f t="shared" si="5"/>
        <v>0.17216636618457934</v>
      </c>
      <c r="R139" s="109">
        <v>1</v>
      </c>
      <c r="S139" s="109"/>
      <c r="T139" s="170"/>
      <c r="U139" s="170"/>
      <c r="V139" s="170"/>
    </row>
    <row r="140" spans="2:22" x14ac:dyDescent="0.25">
      <c r="B140" s="52" t="s">
        <v>333</v>
      </c>
      <c r="C140" s="7" t="s">
        <v>102</v>
      </c>
      <c r="D140" s="5" t="s">
        <v>328</v>
      </c>
      <c r="E140" s="53" t="s">
        <v>332</v>
      </c>
      <c r="F140" s="5" t="s">
        <v>331</v>
      </c>
      <c r="G140" s="54" t="s">
        <v>330</v>
      </c>
      <c r="H140" s="63">
        <v>128104</v>
      </c>
      <c r="I140" s="64">
        <f t="shared" si="0"/>
        <v>128104</v>
      </c>
      <c r="J140" s="64">
        <v>137562</v>
      </c>
      <c r="K140" s="64">
        <f t="shared" si="1"/>
        <v>144549.03175922393</v>
      </c>
      <c r="L140" s="65">
        <v>0.34123836882532943</v>
      </c>
      <c r="M140" s="64">
        <v>1003815</v>
      </c>
      <c r="N140" s="89">
        <f t="shared" si="2"/>
        <v>0.12761714060857826</v>
      </c>
      <c r="O140" s="89">
        <f t="shared" si="3"/>
        <v>0.12761714060857826</v>
      </c>
      <c r="P140" s="89">
        <f t="shared" si="4"/>
        <v>0.13703919546928467</v>
      </c>
      <c r="Q140" s="89">
        <f t="shared" si="5"/>
        <v>0.14399967300670335</v>
      </c>
      <c r="R140" s="109">
        <v>1</v>
      </c>
      <c r="S140" s="109"/>
      <c r="T140" s="170"/>
      <c r="U140" s="170"/>
      <c r="V140" s="170"/>
    </row>
    <row r="141" spans="2:22" x14ac:dyDescent="0.25">
      <c r="B141" s="66" t="s">
        <v>329</v>
      </c>
      <c r="C141" s="10" t="s">
        <v>102</v>
      </c>
      <c r="D141" s="8" t="s">
        <v>328</v>
      </c>
      <c r="E141" s="67" t="s">
        <v>327</v>
      </c>
      <c r="F141" s="8" t="s">
        <v>326</v>
      </c>
      <c r="G141" s="68" t="s">
        <v>325</v>
      </c>
      <c r="H141" s="69">
        <v>103928</v>
      </c>
      <c r="I141" s="70">
        <f t="shared" si="0"/>
        <v>103928</v>
      </c>
      <c r="J141" s="70">
        <v>119562</v>
      </c>
      <c r="K141" s="70">
        <f t="shared" si="1"/>
        <v>119562</v>
      </c>
      <c r="L141" s="71">
        <v>0.28505311369409592</v>
      </c>
      <c r="M141" s="70">
        <v>733105</v>
      </c>
      <c r="N141" s="91">
        <f t="shared" si="2"/>
        <v>0.14176414019819808</v>
      </c>
      <c r="O141" s="91">
        <f t="shared" si="3"/>
        <v>0.14176414019819808</v>
      </c>
      <c r="P141" s="91">
        <f t="shared" si="4"/>
        <v>0.16308987116443074</v>
      </c>
      <c r="Q141" s="91">
        <f t="shared" si="5"/>
        <v>0.16308987116443074</v>
      </c>
      <c r="R141" s="111">
        <v>1</v>
      </c>
      <c r="S141" s="111"/>
      <c r="T141" s="172"/>
      <c r="U141" s="172"/>
      <c r="V141" s="172"/>
    </row>
    <row r="142" spans="2:22" x14ac:dyDescent="0.25">
      <c r="B142" s="52" t="s">
        <v>324</v>
      </c>
      <c r="C142" s="7" t="s">
        <v>410</v>
      </c>
      <c r="D142" s="5" t="s">
        <v>303</v>
      </c>
      <c r="E142" s="53" t="s">
        <v>323</v>
      </c>
      <c r="F142" s="5" t="s">
        <v>322</v>
      </c>
      <c r="G142" s="54" t="s">
        <v>321</v>
      </c>
      <c r="H142" s="63">
        <v>68038</v>
      </c>
      <c r="I142" s="64">
        <f t="shared" si="0"/>
        <v>66363.96751374309</v>
      </c>
      <c r="J142" s="64">
        <v>83786</v>
      </c>
      <c r="K142" s="64">
        <f t="shared" si="1"/>
        <v>83786</v>
      </c>
      <c r="L142" s="65">
        <v>0.11524442223463359</v>
      </c>
      <c r="M142" s="64">
        <v>312987</v>
      </c>
      <c r="N142" s="89">
        <f t="shared" si="2"/>
        <v>0.21738283059679794</v>
      </c>
      <c r="O142" s="89">
        <f t="shared" si="3"/>
        <v>0.21203426185031035</v>
      </c>
      <c r="P142" s="89">
        <f t="shared" si="4"/>
        <v>0.2676980194065568</v>
      </c>
      <c r="Q142" s="89">
        <f t="shared" si="5"/>
        <v>0.2676980194065568</v>
      </c>
      <c r="R142" s="109">
        <v>1</v>
      </c>
      <c r="S142" s="109"/>
      <c r="T142" s="170"/>
      <c r="U142" s="170"/>
      <c r="V142" s="170"/>
    </row>
    <row r="143" spans="2:22" x14ac:dyDescent="0.25">
      <c r="B143" s="52" t="s">
        <v>320</v>
      </c>
      <c r="C143" s="7" t="s">
        <v>410</v>
      </c>
      <c r="D143" s="5" t="s">
        <v>303</v>
      </c>
      <c r="E143" s="53" t="s">
        <v>319</v>
      </c>
      <c r="F143" s="5" t="s">
        <v>318</v>
      </c>
      <c r="G143" s="54" t="s">
        <v>317</v>
      </c>
      <c r="H143" s="63">
        <v>69447</v>
      </c>
      <c r="I143" s="64">
        <f t="shared" si="0"/>
        <v>69447</v>
      </c>
      <c r="J143" s="64">
        <v>85526</v>
      </c>
      <c r="K143" s="64">
        <f t="shared" si="1"/>
        <v>85526</v>
      </c>
      <c r="L143" s="65">
        <v>0.25381945944389245</v>
      </c>
      <c r="M143" s="64">
        <v>431317</v>
      </c>
      <c r="N143" s="89">
        <f t="shared" si="2"/>
        <v>0.16101150661810223</v>
      </c>
      <c r="O143" s="89">
        <f t="shared" si="3"/>
        <v>0.16101150661810223</v>
      </c>
      <c r="P143" s="89">
        <f t="shared" si="4"/>
        <v>0.19829035257131067</v>
      </c>
      <c r="Q143" s="89">
        <f t="shared" si="5"/>
        <v>0.19829035257131067</v>
      </c>
      <c r="R143" s="109">
        <v>1</v>
      </c>
      <c r="S143" s="109"/>
      <c r="T143" s="170"/>
      <c r="U143" s="170"/>
      <c r="V143" s="170"/>
    </row>
    <row r="144" spans="2:22" x14ac:dyDescent="0.25">
      <c r="B144" s="52" t="s">
        <v>316</v>
      </c>
      <c r="C144" s="7" t="s">
        <v>410</v>
      </c>
      <c r="D144" s="5" t="s">
        <v>303</v>
      </c>
      <c r="E144" s="53" t="s">
        <v>315</v>
      </c>
      <c r="F144" s="5" t="s">
        <v>314</v>
      </c>
      <c r="G144" s="54" t="s">
        <v>313</v>
      </c>
      <c r="H144" s="63">
        <v>73816</v>
      </c>
      <c r="I144" s="64">
        <f t="shared" si="0"/>
        <v>49289.696543985003</v>
      </c>
      <c r="J144" s="64">
        <v>99261</v>
      </c>
      <c r="K144" s="64">
        <f t="shared" si="1"/>
        <v>62594.978956439045</v>
      </c>
      <c r="L144" s="65">
        <v>0.23500325132762545</v>
      </c>
      <c r="M144" s="64">
        <v>232461</v>
      </c>
      <c r="N144" s="89">
        <f t="shared" si="2"/>
        <v>0.31754143705825921</v>
      </c>
      <c r="O144" s="89">
        <f t="shared" si="3"/>
        <v>0.21203426185031038</v>
      </c>
      <c r="P144" s="89">
        <f t="shared" si="4"/>
        <v>0.42700065817491967</v>
      </c>
      <c r="Q144" s="89">
        <f t="shared" si="5"/>
        <v>0.26927088396091836</v>
      </c>
      <c r="R144" s="109">
        <v>1</v>
      </c>
      <c r="S144" s="109"/>
      <c r="T144" s="170"/>
      <c r="U144" s="170"/>
      <c r="V144" s="170"/>
    </row>
    <row r="145" spans="2:22" x14ac:dyDescent="0.25">
      <c r="B145" s="52" t="s">
        <v>312</v>
      </c>
      <c r="C145" s="7" t="s">
        <v>410</v>
      </c>
      <c r="D145" s="5" t="s">
        <v>303</v>
      </c>
      <c r="E145" s="53" t="s">
        <v>311</v>
      </c>
      <c r="F145" s="5" t="s">
        <v>310</v>
      </c>
      <c r="G145" s="54" t="s">
        <v>309</v>
      </c>
      <c r="H145" s="63">
        <v>97503</v>
      </c>
      <c r="I145" s="64">
        <f t="shared" si="0"/>
        <v>97503</v>
      </c>
      <c r="J145" s="64">
        <v>97503</v>
      </c>
      <c r="K145" s="64">
        <f t="shared" si="1"/>
        <v>97503</v>
      </c>
      <c r="L145" s="65">
        <v>0.10256094684266125</v>
      </c>
      <c r="M145" s="64">
        <v>593797</v>
      </c>
      <c r="N145" s="89">
        <f t="shared" si="2"/>
        <v>0.16420258101674479</v>
      </c>
      <c r="O145" s="89">
        <f t="shared" si="3"/>
        <v>0.16420258101674479</v>
      </c>
      <c r="P145" s="89">
        <f t="shared" si="4"/>
        <v>0.16420258101674479</v>
      </c>
      <c r="Q145" s="89">
        <f t="shared" si="5"/>
        <v>0.16420258101674479</v>
      </c>
      <c r="R145" s="109">
        <v>1</v>
      </c>
      <c r="S145" s="109"/>
      <c r="T145" s="170"/>
      <c r="U145" s="170"/>
      <c r="V145" s="170"/>
    </row>
    <row r="146" spans="2:22" x14ac:dyDescent="0.25">
      <c r="B146" s="52" t="s">
        <v>308</v>
      </c>
      <c r="C146" s="7" t="s">
        <v>410</v>
      </c>
      <c r="D146" s="5" t="s">
        <v>303</v>
      </c>
      <c r="E146" s="53" t="s">
        <v>307</v>
      </c>
      <c r="F146" s="5" t="s">
        <v>306</v>
      </c>
      <c r="G146" s="54" t="s">
        <v>305</v>
      </c>
      <c r="H146" s="63">
        <v>81786</v>
      </c>
      <c r="I146" s="64">
        <f t="shared" si="0"/>
        <v>70377.139987783914</v>
      </c>
      <c r="J146" s="64">
        <v>100286</v>
      </c>
      <c r="K146" s="64">
        <f t="shared" si="1"/>
        <v>89374.776179004257</v>
      </c>
      <c r="L146" s="65">
        <v>8.1967213114754092E-2</v>
      </c>
      <c r="M146" s="64">
        <v>331914</v>
      </c>
      <c r="N146" s="89">
        <f t="shared" si="2"/>
        <v>0.24640720186554349</v>
      </c>
      <c r="O146" s="89">
        <f t="shared" si="3"/>
        <v>0.21203426185031035</v>
      </c>
      <c r="P146" s="89">
        <f t="shared" si="4"/>
        <v>0.30214453141476405</v>
      </c>
      <c r="Q146" s="89">
        <f t="shared" si="5"/>
        <v>0.26927088396091836</v>
      </c>
      <c r="R146" s="109">
        <v>1</v>
      </c>
      <c r="S146" s="109"/>
      <c r="T146" s="170"/>
      <c r="U146" s="170"/>
      <c r="V146" s="170"/>
    </row>
    <row r="147" spans="2:22" x14ac:dyDescent="0.25">
      <c r="B147" s="66" t="s">
        <v>304</v>
      </c>
      <c r="C147" s="10" t="s">
        <v>410</v>
      </c>
      <c r="D147" s="8" t="s">
        <v>303</v>
      </c>
      <c r="E147" s="67" t="s">
        <v>302</v>
      </c>
      <c r="F147" s="8" t="s">
        <v>301</v>
      </c>
      <c r="G147" s="68" t="s">
        <v>300</v>
      </c>
      <c r="H147" s="69">
        <v>102177</v>
      </c>
      <c r="I147" s="70">
        <f t="shared" si="0"/>
        <v>102177</v>
      </c>
      <c r="J147" s="70">
        <v>102177</v>
      </c>
      <c r="K147" s="70">
        <f t="shared" si="1"/>
        <v>102177</v>
      </c>
      <c r="L147" s="71">
        <v>0.16500778061598989</v>
      </c>
      <c r="M147" s="70">
        <v>659751</v>
      </c>
      <c r="N147" s="91">
        <f t="shared" si="2"/>
        <v>0.15487206537011691</v>
      </c>
      <c r="O147" s="91">
        <f t="shared" si="3"/>
        <v>0.15487206537011691</v>
      </c>
      <c r="P147" s="91">
        <f t="shared" si="4"/>
        <v>0.15487206537011691</v>
      </c>
      <c r="Q147" s="91">
        <f t="shared" si="5"/>
        <v>0.15487206537011691</v>
      </c>
      <c r="R147" s="111">
        <v>1</v>
      </c>
      <c r="S147" s="111"/>
      <c r="T147" s="172"/>
      <c r="U147" s="172"/>
      <c r="V147" s="172"/>
    </row>
    <row r="148" spans="2:22" x14ac:dyDescent="0.25">
      <c r="B148" s="52" t="s">
        <v>299</v>
      </c>
      <c r="C148" s="7" t="s">
        <v>357</v>
      </c>
      <c r="D148" s="5" t="s">
        <v>286</v>
      </c>
      <c r="E148" s="53" t="s">
        <v>298</v>
      </c>
      <c r="F148" s="5" t="s">
        <v>297</v>
      </c>
      <c r="G148" s="54" t="s">
        <v>296</v>
      </c>
      <c r="H148" s="63">
        <v>30251</v>
      </c>
      <c r="I148" s="64">
        <f t="shared" si="0"/>
        <v>31777.574332634016</v>
      </c>
      <c r="J148" s="64">
        <v>87140</v>
      </c>
      <c r="K148" s="64">
        <f t="shared" si="1"/>
        <v>76113.454414812993</v>
      </c>
      <c r="L148" s="65">
        <v>0</v>
      </c>
      <c r="M148" s="64">
        <v>282665</v>
      </c>
      <c r="N148" s="89">
        <f t="shared" si="2"/>
        <v>0.10702067818796102</v>
      </c>
      <c r="O148" s="89">
        <f t="shared" si="3"/>
        <v>0.11242132677421689</v>
      </c>
      <c r="P148" s="89">
        <f t="shared" si="4"/>
        <v>0.30828011957617674</v>
      </c>
      <c r="Q148" s="89">
        <f t="shared" si="5"/>
        <v>0.26927088396091836</v>
      </c>
      <c r="R148" s="109">
        <v>1</v>
      </c>
      <c r="S148" s="109" t="s">
        <v>562</v>
      </c>
      <c r="T148" s="170"/>
      <c r="U148" s="170"/>
      <c r="V148" s="170"/>
    </row>
    <row r="149" spans="2:22" x14ac:dyDescent="0.25">
      <c r="B149" s="52" t="s">
        <v>295</v>
      </c>
      <c r="C149" s="7" t="s">
        <v>357</v>
      </c>
      <c r="D149" s="5" t="s">
        <v>286</v>
      </c>
      <c r="E149" s="53" t="s">
        <v>294</v>
      </c>
      <c r="F149" s="5" t="s">
        <v>293</v>
      </c>
      <c r="G149" s="54" t="s">
        <v>292</v>
      </c>
      <c r="H149" s="63">
        <v>54421</v>
      </c>
      <c r="I149" s="64">
        <f t="shared" si="0"/>
        <v>54421</v>
      </c>
      <c r="J149" s="64">
        <v>89839</v>
      </c>
      <c r="K149" s="64">
        <f t="shared" si="1"/>
        <v>81508.296574969994</v>
      </c>
      <c r="L149" s="65">
        <v>0.20236673343010969</v>
      </c>
      <c r="M149" s="64">
        <v>302700</v>
      </c>
      <c r="N149" s="89">
        <f t="shared" si="2"/>
        <v>0.17978526593987446</v>
      </c>
      <c r="O149" s="89">
        <f t="shared" si="3"/>
        <v>0.17978526593987446</v>
      </c>
      <c r="P149" s="89">
        <f t="shared" si="4"/>
        <v>0.29679220350181695</v>
      </c>
      <c r="Q149" s="89">
        <f t="shared" si="5"/>
        <v>0.26927088396091836</v>
      </c>
      <c r="R149" s="109">
        <v>1</v>
      </c>
      <c r="S149" s="109"/>
      <c r="T149" s="170"/>
      <c r="U149" s="170"/>
      <c r="V149" s="170"/>
    </row>
    <row r="150" spans="2:22" x14ac:dyDescent="0.25">
      <c r="B150" s="52" t="s">
        <v>291</v>
      </c>
      <c r="C150" s="7" t="s">
        <v>357</v>
      </c>
      <c r="D150" s="5" t="s">
        <v>286</v>
      </c>
      <c r="E150" s="53" t="s">
        <v>290</v>
      </c>
      <c r="F150" s="5" t="s">
        <v>289</v>
      </c>
      <c r="G150" s="54" t="s">
        <v>288</v>
      </c>
      <c r="H150" s="63">
        <v>80807</v>
      </c>
      <c r="I150" s="64">
        <f t="shared" si="0"/>
        <v>80807</v>
      </c>
      <c r="J150" s="64">
        <v>93750</v>
      </c>
      <c r="K150" s="64">
        <f t="shared" si="1"/>
        <v>93750</v>
      </c>
      <c r="L150" s="65">
        <v>0.30775799126313313</v>
      </c>
      <c r="M150" s="64">
        <v>564139</v>
      </c>
      <c r="N150" s="89">
        <f t="shared" si="2"/>
        <v>0.14323952075640933</v>
      </c>
      <c r="O150" s="89">
        <f t="shared" si="3"/>
        <v>0.14323952075640933</v>
      </c>
      <c r="P150" s="89">
        <f t="shared" si="4"/>
        <v>0.16618244794279424</v>
      </c>
      <c r="Q150" s="89">
        <f t="shared" si="5"/>
        <v>0.16618244794279424</v>
      </c>
      <c r="R150" s="109">
        <v>1</v>
      </c>
      <c r="S150" s="109"/>
      <c r="T150" s="170"/>
      <c r="U150" s="170"/>
      <c r="V150" s="170"/>
    </row>
    <row r="151" spans="2:22" x14ac:dyDescent="0.25">
      <c r="B151" s="52" t="s">
        <v>287</v>
      </c>
      <c r="C151" s="7" t="s">
        <v>357</v>
      </c>
      <c r="D151" s="5" t="s">
        <v>286</v>
      </c>
      <c r="E151" s="53" t="s">
        <v>285</v>
      </c>
      <c r="F151" s="5" t="s">
        <v>284</v>
      </c>
      <c r="G151" s="54" t="s">
        <v>283</v>
      </c>
      <c r="H151" s="63">
        <v>32752</v>
      </c>
      <c r="I151" s="64">
        <f t="shared" ref="I151:I182" si="6">IF(N151&gt;$O$114,IF(N151&gt;$O$113,$O$113*M151,H151),$O$114*M151)</f>
        <v>32752</v>
      </c>
      <c r="J151" s="64">
        <v>34031</v>
      </c>
      <c r="K151" s="64">
        <f t="shared" ref="K151:K182" si="7">IF(P151&gt;$P$114,IF(P151&gt;$P$113,$P$113*M151,J151),$P$114*M151)</f>
        <v>34031</v>
      </c>
      <c r="L151" s="65">
        <v>0</v>
      </c>
      <c r="M151" s="64">
        <v>183659</v>
      </c>
      <c r="N151" s="89">
        <f t="shared" ref="N151:N182" si="8">H151/M151</f>
        <v>0.17833049292438705</v>
      </c>
      <c r="O151" s="89">
        <f t="shared" ref="O151:O182" si="9">+I151/M151</f>
        <v>0.17833049292438705</v>
      </c>
      <c r="P151" s="89">
        <f t="shared" ref="P151:P182" si="10">+J151/M151</f>
        <v>0.18529448597672862</v>
      </c>
      <c r="Q151" s="89">
        <f t="shared" si="5"/>
        <v>0.18529448597672862</v>
      </c>
      <c r="R151" s="109">
        <v>1</v>
      </c>
      <c r="S151" s="109" t="s">
        <v>562</v>
      </c>
      <c r="T151" s="170"/>
      <c r="U151" s="170"/>
      <c r="V151" s="170"/>
    </row>
    <row r="152" spans="2:22" x14ac:dyDescent="0.25">
      <c r="B152" s="72" t="s">
        <v>282</v>
      </c>
      <c r="C152" s="12" t="s">
        <v>220</v>
      </c>
      <c r="D152" s="11" t="s">
        <v>277</v>
      </c>
      <c r="E152" s="58" t="s">
        <v>281</v>
      </c>
      <c r="F152" s="11" t="s">
        <v>280</v>
      </c>
      <c r="G152" s="59" t="s">
        <v>279</v>
      </c>
      <c r="H152" s="60">
        <v>19848</v>
      </c>
      <c r="I152" s="61">
        <f t="shared" si="6"/>
        <v>19848</v>
      </c>
      <c r="J152" s="61">
        <v>21138</v>
      </c>
      <c r="K152" s="61">
        <f t="shared" si="7"/>
        <v>21138</v>
      </c>
      <c r="L152" s="62">
        <v>5.5320435308343407E-2</v>
      </c>
      <c r="M152" s="61">
        <v>146792</v>
      </c>
      <c r="N152" s="90">
        <f t="shared" si="8"/>
        <v>0.13521172815957272</v>
      </c>
      <c r="O152" s="90">
        <f t="shared" si="9"/>
        <v>0.13521172815957272</v>
      </c>
      <c r="P152" s="90">
        <f t="shared" si="10"/>
        <v>0.14399967300670335</v>
      </c>
      <c r="Q152" s="90">
        <f t="shared" si="5"/>
        <v>0.14399967300670335</v>
      </c>
      <c r="R152" s="110">
        <v>1</v>
      </c>
      <c r="S152" s="110" t="s">
        <v>562</v>
      </c>
      <c r="T152" s="171">
        <v>0.08</v>
      </c>
      <c r="U152" s="171">
        <v>0.11</v>
      </c>
      <c r="V152" s="171">
        <v>0.03</v>
      </c>
    </row>
    <row r="153" spans="2:22" x14ac:dyDescent="0.25">
      <c r="B153" s="73" t="s">
        <v>278</v>
      </c>
      <c r="C153" s="10" t="s">
        <v>220</v>
      </c>
      <c r="D153" s="8" t="s">
        <v>277</v>
      </c>
      <c r="E153" s="67" t="s">
        <v>276</v>
      </c>
      <c r="F153" s="8" t="s">
        <v>275</v>
      </c>
      <c r="G153" s="68" t="s">
        <v>274</v>
      </c>
      <c r="H153" s="69">
        <v>36369</v>
      </c>
      <c r="I153" s="70">
        <f t="shared" si="6"/>
        <v>36000.449182516801</v>
      </c>
      <c r="J153" s="70">
        <v>36369</v>
      </c>
      <c r="K153" s="70">
        <f t="shared" si="7"/>
        <v>36369</v>
      </c>
      <c r="L153" s="71">
        <v>0</v>
      </c>
      <c r="M153" s="70">
        <v>169786</v>
      </c>
      <c r="N153" s="91">
        <f t="shared" si="8"/>
        <v>0.2142049403366591</v>
      </c>
      <c r="O153" s="91">
        <f t="shared" si="9"/>
        <v>0.21203426185031041</v>
      </c>
      <c r="P153" s="91">
        <f t="shared" si="10"/>
        <v>0.2142049403366591</v>
      </c>
      <c r="Q153" s="91">
        <f t="shared" si="5"/>
        <v>0.2142049403366591</v>
      </c>
      <c r="R153" s="111">
        <v>1</v>
      </c>
      <c r="S153" s="111" t="s">
        <v>562</v>
      </c>
      <c r="T153" s="172">
        <v>0.08</v>
      </c>
      <c r="U153" s="172">
        <v>0.11</v>
      </c>
      <c r="V153" s="172">
        <v>0.03</v>
      </c>
    </row>
    <row r="154" spans="2:22" x14ac:dyDescent="0.25">
      <c r="B154" s="52" t="s">
        <v>273</v>
      </c>
      <c r="C154" s="7" t="s">
        <v>379</v>
      </c>
      <c r="D154" s="5" t="s">
        <v>268</v>
      </c>
      <c r="E154" s="53" t="s">
        <v>272</v>
      </c>
      <c r="F154" s="5" t="s">
        <v>271</v>
      </c>
      <c r="G154" s="54" t="s">
        <v>270</v>
      </c>
      <c r="H154" s="55">
        <v>176614</v>
      </c>
      <c r="I154" s="6">
        <f t="shared" si="6"/>
        <v>176614</v>
      </c>
      <c r="J154" s="6">
        <v>273307</v>
      </c>
      <c r="K154" s="6">
        <f t="shared" si="7"/>
        <v>273307</v>
      </c>
      <c r="L154" s="56">
        <v>0.43405958757516394</v>
      </c>
      <c r="M154" s="64">
        <v>1071494.75</v>
      </c>
      <c r="N154" s="89">
        <f t="shared" si="8"/>
        <v>0.16482955236131583</v>
      </c>
      <c r="O154" s="89">
        <f t="shared" si="9"/>
        <v>0.16482955236131583</v>
      </c>
      <c r="P154" s="89">
        <f t="shared" si="10"/>
        <v>0.25507077846158371</v>
      </c>
      <c r="Q154" s="89">
        <f t="shared" si="5"/>
        <v>0.25507077846158371</v>
      </c>
      <c r="R154" s="109">
        <v>3</v>
      </c>
      <c r="S154" s="109"/>
      <c r="T154" s="170"/>
      <c r="U154" s="170"/>
      <c r="V154" s="170"/>
    </row>
    <row r="155" spans="2:22" x14ac:dyDescent="0.25">
      <c r="B155" s="52" t="s">
        <v>269</v>
      </c>
      <c r="C155" s="7" t="s">
        <v>379</v>
      </c>
      <c r="D155" s="5" t="s">
        <v>268</v>
      </c>
      <c r="E155" s="53" t="s">
        <v>267</v>
      </c>
      <c r="F155" s="5" t="s">
        <v>266</v>
      </c>
      <c r="G155" s="54" t="s">
        <v>265</v>
      </c>
      <c r="H155" s="63">
        <v>27655</v>
      </c>
      <c r="I155" s="64">
        <f t="shared" si="6"/>
        <v>22874.097142715094</v>
      </c>
      <c r="J155" s="64">
        <v>27655</v>
      </c>
      <c r="K155" s="64">
        <f t="shared" si="7"/>
        <v>27655</v>
      </c>
      <c r="L155" s="65">
        <v>0.33259808352919906</v>
      </c>
      <c r="M155" s="64">
        <v>107879.25</v>
      </c>
      <c r="N155" s="89">
        <f t="shared" si="8"/>
        <v>0.2563514299552509</v>
      </c>
      <c r="O155" s="89">
        <f t="shared" si="9"/>
        <v>0.21203426185031035</v>
      </c>
      <c r="P155" s="89">
        <f t="shared" si="10"/>
        <v>0.2563514299552509</v>
      </c>
      <c r="Q155" s="89">
        <f t="shared" si="5"/>
        <v>0.2563514299552509</v>
      </c>
      <c r="R155" s="109">
        <v>1</v>
      </c>
      <c r="S155" s="109" t="s">
        <v>562</v>
      </c>
      <c r="T155" s="170"/>
      <c r="U155" s="170"/>
      <c r="V155" s="170"/>
    </row>
    <row r="156" spans="2:22" x14ac:dyDescent="0.25">
      <c r="B156" s="74" t="s">
        <v>264</v>
      </c>
      <c r="C156" s="14" t="s">
        <v>33</v>
      </c>
      <c r="D156" s="13" t="s">
        <v>262</v>
      </c>
      <c r="E156" s="75" t="s">
        <v>263</v>
      </c>
      <c r="F156" s="13" t="s">
        <v>262</v>
      </c>
      <c r="G156" s="76" t="s">
        <v>261</v>
      </c>
      <c r="H156" s="77">
        <v>62685</v>
      </c>
      <c r="I156" s="78">
        <f t="shared" si="6"/>
        <v>62685</v>
      </c>
      <c r="J156" s="78">
        <v>91360</v>
      </c>
      <c r="K156" s="78">
        <f t="shared" si="7"/>
        <v>91360</v>
      </c>
      <c r="L156" s="79">
        <v>0.18891281805854671</v>
      </c>
      <c r="M156" s="78">
        <v>403977</v>
      </c>
      <c r="N156" s="92">
        <f t="shared" si="8"/>
        <v>0.15516972500909706</v>
      </c>
      <c r="O156" s="92">
        <f t="shared" si="9"/>
        <v>0.15516972500909706</v>
      </c>
      <c r="P156" s="92">
        <f t="shared" si="10"/>
        <v>0.22615148882238345</v>
      </c>
      <c r="Q156" s="92">
        <f t="shared" si="5"/>
        <v>0.22615148882238345</v>
      </c>
      <c r="R156" s="112">
        <v>1</v>
      </c>
      <c r="S156" s="112"/>
      <c r="T156" s="173">
        <v>0.26</v>
      </c>
      <c r="U156" s="173">
        <v>0.27</v>
      </c>
      <c r="V156" s="173">
        <v>0.01</v>
      </c>
    </row>
    <row r="157" spans="2:22" x14ac:dyDescent="0.25">
      <c r="B157" s="52" t="s">
        <v>260</v>
      </c>
      <c r="C157" s="7" t="s">
        <v>387</v>
      </c>
      <c r="D157" s="5" t="s">
        <v>258</v>
      </c>
      <c r="E157" s="53" t="s">
        <v>259</v>
      </c>
      <c r="F157" s="5" t="s">
        <v>258</v>
      </c>
      <c r="G157" s="54" t="s">
        <v>257</v>
      </c>
      <c r="H157" s="63">
        <v>27309</v>
      </c>
      <c r="I157" s="64">
        <f t="shared" si="6"/>
        <v>27309</v>
      </c>
      <c r="J157" s="64">
        <v>39130</v>
      </c>
      <c r="K157" s="64">
        <f t="shared" si="7"/>
        <v>39130</v>
      </c>
      <c r="L157" s="65">
        <v>0</v>
      </c>
      <c r="M157" s="64">
        <v>239450</v>
      </c>
      <c r="N157" s="89">
        <f t="shared" si="8"/>
        <v>0.1140488619753602</v>
      </c>
      <c r="O157" s="89">
        <f t="shared" si="9"/>
        <v>0.1140488619753602</v>
      </c>
      <c r="P157" s="89">
        <f t="shared" si="10"/>
        <v>0.16341616203800377</v>
      </c>
      <c r="Q157" s="89">
        <f t="shared" si="5"/>
        <v>0.16341616203800377</v>
      </c>
      <c r="R157" s="109">
        <v>1</v>
      </c>
      <c r="S157" s="109"/>
      <c r="T157" s="170">
        <v>0.26</v>
      </c>
      <c r="U157" s="170">
        <v>0.28999999999999998</v>
      </c>
      <c r="V157" s="170">
        <v>0.03</v>
      </c>
    </row>
    <row r="158" spans="2:22" x14ac:dyDescent="0.25">
      <c r="B158" s="57" t="s">
        <v>256</v>
      </c>
      <c r="C158" s="12" t="s">
        <v>182</v>
      </c>
      <c r="D158" s="11" t="s">
        <v>249</v>
      </c>
      <c r="E158" s="58" t="s">
        <v>255</v>
      </c>
      <c r="F158" s="11" t="s">
        <v>254</v>
      </c>
      <c r="G158" s="59" t="s">
        <v>253</v>
      </c>
      <c r="H158" s="60">
        <v>115012</v>
      </c>
      <c r="I158" s="61">
        <f t="shared" si="6"/>
        <v>115012</v>
      </c>
      <c r="J158" s="61">
        <v>116619</v>
      </c>
      <c r="K158" s="61">
        <f t="shared" si="7"/>
        <v>116619</v>
      </c>
      <c r="L158" s="62">
        <v>0.26908496504712553</v>
      </c>
      <c r="M158" s="61">
        <v>590927</v>
      </c>
      <c r="N158" s="90">
        <f t="shared" si="8"/>
        <v>0.19462979352779616</v>
      </c>
      <c r="O158" s="90">
        <f t="shared" si="9"/>
        <v>0.19462979352779616</v>
      </c>
      <c r="P158" s="90">
        <f t="shared" si="10"/>
        <v>0.19734924956889768</v>
      </c>
      <c r="Q158" s="90">
        <f t="shared" si="5"/>
        <v>0.19734924956889768</v>
      </c>
      <c r="R158" s="110">
        <v>1</v>
      </c>
      <c r="S158" s="110"/>
      <c r="T158" s="171"/>
      <c r="U158" s="171"/>
      <c r="V158" s="171"/>
    </row>
    <row r="159" spans="2:22" x14ac:dyDescent="0.25">
      <c r="B159" s="52" t="s">
        <v>252</v>
      </c>
      <c r="C159" s="7" t="s">
        <v>182</v>
      </c>
      <c r="D159" s="5" t="s">
        <v>249</v>
      </c>
      <c r="E159" s="53" t="s">
        <v>248</v>
      </c>
      <c r="F159" s="5" t="s">
        <v>247</v>
      </c>
      <c r="G159" s="54" t="s">
        <v>251</v>
      </c>
      <c r="H159" s="55">
        <v>114952</v>
      </c>
      <c r="I159" s="6">
        <f t="shared" si="6"/>
        <v>114952</v>
      </c>
      <c r="J159" s="6">
        <v>161167</v>
      </c>
      <c r="K159" s="6">
        <f t="shared" si="7"/>
        <v>161167</v>
      </c>
      <c r="L159" s="56">
        <v>0.46923933467882245</v>
      </c>
      <c r="M159" s="64">
        <v>637041.78540289192</v>
      </c>
      <c r="N159" s="89">
        <f t="shared" si="8"/>
        <v>0.18044656195872541</v>
      </c>
      <c r="O159" s="89">
        <f t="shared" si="9"/>
        <v>0.18044656195872541</v>
      </c>
      <c r="P159" s="89">
        <f t="shared" si="10"/>
        <v>0.25299282353679708</v>
      </c>
      <c r="Q159" s="89">
        <f t="shared" si="5"/>
        <v>0.25299282353679708</v>
      </c>
      <c r="R159" s="109">
        <v>0.5</v>
      </c>
      <c r="S159" s="109" t="s">
        <v>562</v>
      </c>
      <c r="T159" s="170"/>
      <c r="U159" s="170"/>
      <c r="V159" s="170"/>
    </row>
    <row r="160" spans="2:22" x14ac:dyDescent="0.25">
      <c r="B160" s="66" t="s">
        <v>250</v>
      </c>
      <c r="C160" s="10" t="s">
        <v>182</v>
      </c>
      <c r="D160" s="8" t="s">
        <v>249</v>
      </c>
      <c r="E160" s="67" t="s">
        <v>248</v>
      </c>
      <c r="F160" s="8" t="s">
        <v>247</v>
      </c>
      <c r="G160" s="68" t="s">
        <v>246</v>
      </c>
      <c r="H160" s="69">
        <v>112367</v>
      </c>
      <c r="I160" s="70">
        <f t="shared" si="6"/>
        <v>112367</v>
      </c>
      <c r="J160" s="70">
        <v>112367</v>
      </c>
      <c r="K160" s="70">
        <f t="shared" si="7"/>
        <v>112367</v>
      </c>
      <c r="L160" s="71">
        <v>0.23138465919709522</v>
      </c>
      <c r="M160" s="70">
        <v>622716.21459710808</v>
      </c>
      <c r="N160" s="91">
        <f t="shared" si="8"/>
        <v>0.18044656195872538</v>
      </c>
      <c r="O160" s="91">
        <f t="shared" si="9"/>
        <v>0.18044656195872538</v>
      </c>
      <c r="P160" s="91">
        <f t="shared" si="10"/>
        <v>0.18044656195872538</v>
      </c>
      <c r="Q160" s="91">
        <f t="shared" si="5"/>
        <v>0.18044656195872538</v>
      </c>
      <c r="R160" s="111">
        <v>0.5</v>
      </c>
      <c r="S160" s="111" t="s">
        <v>562</v>
      </c>
      <c r="T160" s="172"/>
      <c r="U160" s="172"/>
      <c r="V160" s="172"/>
    </row>
    <row r="161" spans="2:22" x14ac:dyDescent="0.25">
      <c r="B161" s="52" t="s">
        <v>245</v>
      </c>
      <c r="C161" s="7" t="s">
        <v>203</v>
      </c>
      <c r="D161" s="5" t="s">
        <v>216</v>
      </c>
      <c r="E161" s="53" t="s">
        <v>244</v>
      </c>
      <c r="F161" s="5" t="s">
        <v>243</v>
      </c>
      <c r="G161" s="54" t="s">
        <v>242</v>
      </c>
      <c r="H161" s="63">
        <v>139925</v>
      </c>
      <c r="I161" s="64">
        <f t="shared" si="6"/>
        <v>255006.75699920423</v>
      </c>
      <c r="J161" s="64">
        <v>160003</v>
      </c>
      <c r="K161" s="64">
        <f t="shared" si="7"/>
        <v>326636.33027685428</v>
      </c>
      <c r="L161" s="65">
        <v>9.8712446351931327E-2</v>
      </c>
      <c r="M161" s="64">
        <v>2268313</v>
      </c>
      <c r="N161" s="89">
        <f t="shared" si="8"/>
        <v>6.1686813063276544E-2</v>
      </c>
      <c r="O161" s="89">
        <f t="shared" si="9"/>
        <v>0.11242132677421689</v>
      </c>
      <c r="P161" s="89">
        <f t="shared" si="10"/>
        <v>7.0538325178227168E-2</v>
      </c>
      <c r="Q161" s="89">
        <f t="shared" si="5"/>
        <v>0.14399967300670335</v>
      </c>
      <c r="R161" s="109">
        <v>1</v>
      </c>
      <c r="S161" s="109"/>
      <c r="T161" s="170">
        <v>7.0000000000000007E-2</v>
      </c>
      <c r="U161" s="170">
        <v>7.0000000000000007E-2</v>
      </c>
      <c r="V161" s="170"/>
    </row>
    <row r="162" spans="2:22" x14ac:dyDescent="0.25">
      <c r="B162" s="52" t="s">
        <v>241</v>
      </c>
      <c r="C162" s="7" t="s">
        <v>203</v>
      </c>
      <c r="D162" s="5" t="s">
        <v>216</v>
      </c>
      <c r="E162" s="53" t="s">
        <v>240</v>
      </c>
      <c r="F162" s="5" t="s">
        <v>239</v>
      </c>
      <c r="G162" s="54" t="s">
        <v>238</v>
      </c>
      <c r="H162" s="63">
        <v>170040</v>
      </c>
      <c r="I162" s="64">
        <f t="shared" si="6"/>
        <v>170040</v>
      </c>
      <c r="J162" s="64">
        <v>180175</v>
      </c>
      <c r="K162" s="64">
        <f t="shared" si="7"/>
        <v>192861.35405199192</v>
      </c>
      <c r="L162" s="65">
        <v>0.17461185603387439</v>
      </c>
      <c r="M162" s="64">
        <v>1339318</v>
      </c>
      <c r="N162" s="89">
        <f t="shared" si="8"/>
        <v>0.1269601394142392</v>
      </c>
      <c r="O162" s="89">
        <f t="shared" si="9"/>
        <v>0.1269601394142392</v>
      </c>
      <c r="P162" s="89">
        <f t="shared" si="10"/>
        <v>0.13452742365890699</v>
      </c>
      <c r="Q162" s="89">
        <f t="shared" si="5"/>
        <v>0.14399967300670335</v>
      </c>
      <c r="R162" s="109">
        <v>1</v>
      </c>
      <c r="S162" s="109"/>
      <c r="T162" s="170">
        <v>7.0000000000000007E-2</v>
      </c>
      <c r="U162" s="170">
        <v>7.0000000000000007E-2</v>
      </c>
      <c r="V162" s="170"/>
    </row>
    <row r="163" spans="2:22" x14ac:dyDescent="0.25">
      <c r="B163" s="52" t="s">
        <v>237</v>
      </c>
      <c r="C163" s="7" t="s">
        <v>203</v>
      </c>
      <c r="D163" s="5" t="s">
        <v>216</v>
      </c>
      <c r="E163" s="53" t="s">
        <v>236</v>
      </c>
      <c r="F163" s="5" t="s">
        <v>235</v>
      </c>
      <c r="G163" s="54" t="s">
        <v>234</v>
      </c>
      <c r="H163" s="63">
        <v>195987</v>
      </c>
      <c r="I163" s="64">
        <f t="shared" si="6"/>
        <v>195987</v>
      </c>
      <c r="J163" s="64">
        <v>244983.75</v>
      </c>
      <c r="K163" s="64">
        <f t="shared" si="7"/>
        <v>244983.75</v>
      </c>
      <c r="L163" s="65">
        <v>0.39520333680917619</v>
      </c>
      <c r="M163" s="64">
        <v>1424133</v>
      </c>
      <c r="N163" s="89">
        <f t="shared" si="8"/>
        <v>0.13761846681454612</v>
      </c>
      <c r="O163" s="89">
        <f t="shared" si="9"/>
        <v>0.13761846681454612</v>
      </c>
      <c r="P163" s="89">
        <f t="shared" si="10"/>
        <v>0.17202308351818263</v>
      </c>
      <c r="Q163" s="89">
        <f t="shared" si="5"/>
        <v>0.17202308351818263</v>
      </c>
      <c r="R163" s="109">
        <v>1</v>
      </c>
      <c r="S163" s="109"/>
      <c r="T163" s="170">
        <v>7.0000000000000007E-2</v>
      </c>
      <c r="U163" s="170">
        <v>7.0000000000000007E-2</v>
      </c>
      <c r="V163" s="170"/>
    </row>
    <row r="164" spans="2:22" x14ac:dyDescent="0.25">
      <c r="B164" s="52" t="s">
        <v>233</v>
      </c>
      <c r="C164" s="7" t="s">
        <v>203</v>
      </c>
      <c r="D164" s="5" t="s">
        <v>216</v>
      </c>
      <c r="E164" s="53" t="s">
        <v>232</v>
      </c>
      <c r="F164" s="5" t="s">
        <v>231</v>
      </c>
      <c r="G164" s="54" t="s">
        <v>230</v>
      </c>
      <c r="H164" s="63">
        <v>98652</v>
      </c>
      <c r="I164" s="64">
        <f t="shared" si="6"/>
        <v>138120.61723214932</v>
      </c>
      <c r="J164" s="64">
        <v>169480</v>
      </c>
      <c r="K164" s="64">
        <f t="shared" si="7"/>
        <v>176917.71025668972</v>
      </c>
      <c r="L164" s="65">
        <v>0.40955074402951791</v>
      </c>
      <c r="M164" s="64">
        <v>1228598</v>
      </c>
      <c r="N164" s="89">
        <f t="shared" si="8"/>
        <v>8.0296402891751412E-2</v>
      </c>
      <c r="O164" s="89">
        <f t="shared" si="9"/>
        <v>0.11242132677421689</v>
      </c>
      <c r="P164" s="89">
        <f t="shared" si="10"/>
        <v>0.13794585372921003</v>
      </c>
      <c r="Q164" s="89">
        <f t="shared" si="5"/>
        <v>0.14399967300670335</v>
      </c>
      <c r="R164" s="109">
        <v>1</v>
      </c>
      <c r="S164" s="109"/>
      <c r="T164" s="170">
        <v>7.0000000000000007E-2</v>
      </c>
      <c r="U164" s="170">
        <v>7.0000000000000007E-2</v>
      </c>
      <c r="V164" s="170"/>
    </row>
    <row r="165" spans="2:22" x14ac:dyDescent="0.25">
      <c r="B165" s="52" t="s">
        <v>229</v>
      </c>
      <c r="C165" s="7" t="s">
        <v>203</v>
      </c>
      <c r="D165" s="5" t="s">
        <v>216</v>
      </c>
      <c r="E165" s="53" t="s">
        <v>228</v>
      </c>
      <c r="F165" s="5" t="s">
        <v>227</v>
      </c>
      <c r="G165" s="54" t="s">
        <v>226</v>
      </c>
      <c r="H165" s="63">
        <v>178710</v>
      </c>
      <c r="I165" s="64">
        <f t="shared" si="6"/>
        <v>178710</v>
      </c>
      <c r="J165" s="64">
        <v>187285</v>
      </c>
      <c r="K165" s="64">
        <f t="shared" si="7"/>
        <v>228908.36019674095</v>
      </c>
      <c r="L165" s="65">
        <v>0.39449541284403677</v>
      </c>
      <c r="M165" s="64">
        <v>1589645</v>
      </c>
      <c r="N165" s="89">
        <f t="shared" si="8"/>
        <v>0.11242132677421689</v>
      </c>
      <c r="O165" s="89">
        <f t="shared" si="9"/>
        <v>0.11242132677421689</v>
      </c>
      <c r="P165" s="89">
        <f t="shared" si="10"/>
        <v>0.11781561291986575</v>
      </c>
      <c r="Q165" s="89">
        <f t="shared" si="5"/>
        <v>0.14399967300670335</v>
      </c>
      <c r="R165" s="109">
        <v>1</v>
      </c>
      <c r="S165" s="109"/>
      <c r="T165" s="170">
        <v>7.0000000000000007E-2</v>
      </c>
      <c r="U165" s="170">
        <v>7.0000000000000007E-2</v>
      </c>
      <c r="V165" s="170"/>
    </row>
    <row r="166" spans="2:22" x14ac:dyDescent="0.25">
      <c r="B166" s="52" t="s">
        <v>225</v>
      </c>
      <c r="C166" s="7" t="s">
        <v>203</v>
      </c>
      <c r="D166" s="5" t="s">
        <v>216</v>
      </c>
      <c r="E166" s="53" t="s">
        <v>224</v>
      </c>
      <c r="F166" s="5" t="s">
        <v>223</v>
      </c>
      <c r="G166" s="54" t="s">
        <v>222</v>
      </c>
      <c r="H166" s="63">
        <v>194962</v>
      </c>
      <c r="I166" s="64">
        <f t="shared" si="6"/>
        <v>194962</v>
      </c>
      <c r="J166" s="64">
        <v>379837</v>
      </c>
      <c r="K166" s="64">
        <f t="shared" si="7"/>
        <v>379837</v>
      </c>
      <c r="L166" s="65">
        <v>0.42104615258358041</v>
      </c>
      <c r="M166" s="64">
        <v>1538652</v>
      </c>
      <c r="N166" s="89">
        <f t="shared" si="8"/>
        <v>0.12670961334986727</v>
      </c>
      <c r="O166" s="89">
        <f t="shared" si="9"/>
        <v>0.12670961334986727</v>
      </c>
      <c r="P166" s="89">
        <f t="shared" si="10"/>
        <v>0.24686348830014845</v>
      </c>
      <c r="Q166" s="89">
        <f t="shared" si="5"/>
        <v>0.24686348830014845</v>
      </c>
      <c r="R166" s="109">
        <v>1</v>
      </c>
      <c r="S166" s="109"/>
      <c r="T166" s="170">
        <v>7.0000000000000007E-2</v>
      </c>
      <c r="U166" s="170">
        <v>7.0000000000000007E-2</v>
      </c>
      <c r="V166" s="170"/>
    </row>
    <row r="167" spans="2:22" x14ac:dyDescent="0.25">
      <c r="B167" s="52" t="s">
        <v>221</v>
      </c>
      <c r="C167" s="7" t="s">
        <v>203</v>
      </c>
      <c r="D167" s="5" t="s">
        <v>216</v>
      </c>
      <c r="E167" s="53" t="s">
        <v>220</v>
      </c>
      <c r="F167" s="5" t="s">
        <v>219</v>
      </c>
      <c r="G167" s="54" t="s">
        <v>218</v>
      </c>
      <c r="H167" s="55">
        <v>123685</v>
      </c>
      <c r="I167" s="6">
        <f t="shared" si="6"/>
        <v>150893.7035375823</v>
      </c>
      <c r="J167" s="6">
        <v>148606</v>
      </c>
      <c r="K167" s="6">
        <f t="shared" si="7"/>
        <v>193278.66510436535</v>
      </c>
      <c r="L167" s="56">
        <v>0.51197800865100862</v>
      </c>
      <c r="M167" s="64">
        <v>1342216</v>
      </c>
      <c r="N167" s="89">
        <f t="shared" si="8"/>
        <v>9.2149847714525834E-2</v>
      </c>
      <c r="O167" s="89">
        <f t="shared" si="9"/>
        <v>0.1124213267742169</v>
      </c>
      <c r="P167" s="89">
        <f t="shared" si="10"/>
        <v>0.11071690398564761</v>
      </c>
      <c r="Q167" s="89">
        <f t="shared" si="5"/>
        <v>0.14399967300670335</v>
      </c>
      <c r="R167" s="109">
        <v>1</v>
      </c>
      <c r="S167" s="109"/>
      <c r="T167" s="170">
        <v>7.0000000000000007E-2</v>
      </c>
      <c r="U167" s="170">
        <v>7.0000000000000007E-2</v>
      </c>
      <c r="V167" s="170"/>
    </row>
    <row r="168" spans="2:22" x14ac:dyDescent="0.25">
      <c r="B168" s="52" t="s">
        <v>217</v>
      </c>
      <c r="C168" s="7" t="s">
        <v>203</v>
      </c>
      <c r="D168" s="5" t="s">
        <v>216</v>
      </c>
      <c r="E168" s="53" t="s">
        <v>215</v>
      </c>
      <c r="F168" s="5" t="s">
        <v>214</v>
      </c>
      <c r="G168" s="54" t="s">
        <v>213</v>
      </c>
      <c r="H168" s="63">
        <v>231790</v>
      </c>
      <c r="I168" s="64">
        <f t="shared" si="6"/>
        <v>231790</v>
      </c>
      <c r="J168" s="64">
        <v>234525</v>
      </c>
      <c r="K168" s="64">
        <f t="shared" si="7"/>
        <v>234525</v>
      </c>
      <c r="L168" s="65">
        <v>0.1138961991457785</v>
      </c>
      <c r="M168" s="64">
        <v>1183937</v>
      </c>
      <c r="N168" s="89">
        <f t="shared" si="8"/>
        <v>0.19577899837575816</v>
      </c>
      <c r="O168" s="89">
        <f t="shared" si="9"/>
        <v>0.19577899837575816</v>
      </c>
      <c r="P168" s="89">
        <f t="shared" si="10"/>
        <v>0.19808908751056856</v>
      </c>
      <c r="Q168" s="89">
        <f t="shared" si="5"/>
        <v>0.19808908751056856</v>
      </c>
      <c r="R168" s="109">
        <v>1</v>
      </c>
      <c r="S168" s="109"/>
      <c r="T168" s="170">
        <v>7.0000000000000007E-2</v>
      </c>
      <c r="U168" s="170">
        <v>7.0000000000000007E-2</v>
      </c>
      <c r="V168" s="170"/>
    </row>
    <row r="169" spans="2:22" x14ac:dyDescent="0.25">
      <c r="B169" s="74" t="s">
        <v>212</v>
      </c>
      <c r="C169" s="14" t="s">
        <v>58</v>
      </c>
      <c r="D169" s="13" t="s">
        <v>210</v>
      </c>
      <c r="E169" s="75" t="s">
        <v>211</v>
      </c>
      <c r="F169" s="13" t="s">
        <v>210</v>
      </c>
      <c r="G169" s="76" t="s">
        <v>209</v>
      </c>
      <c r="H169" s="77">
        <v>111824</v>
      </c>
      <c r="I169" s="78">
        <f t="shared" si="6"/>
        <v>111824</v>
      </c>
      <c r="J169" s="78">
        <v>246545</v>
      </c>
      <c r="K169" s="78">
        <f t="shared" si="7"/>
        <v>225613.45700256675</v>
      </c>
      <c r="L169" s="79">
        <v>0.25683216483044785</v>
      </c>
      <c r="M169" s="78">
        <v>837868</v>
      </c>
      <c r="N169" s="92">
        <f t="shared" si="8"/>
        <v>0.13346255018690295</v>
      </c>
      <c r="O169" s="92">
        <f t="shared" si="9"/>
        <v>0.13346255018690295</v>
      </c>
      <c r="P169" s="92">
        <f t="shared" si="10"/>
        <v>0.29425279399619031</v>
      </c>
      <c r="Q169" s="92">
        <f t="shared" si="5"/>
        <v>0.26927088396091836</v>
      </c>
      <c r="R169" s="112">
        <v>1</v>
      </c>
      <c r="S169" s="112"/>
      <c r="T169" s="173">
        <v>0.31</v>
      </c>
      <c r="U169" s="173">
        <v>0.31</v>
      </c>
      <c r="V169" s="173"/>
    </row>
    <row r="170" spans="2:22" x14ac:dyDescent="0.25">
      <c r="B170" s="52" t="s">
        <v>208</v>
      </c>
      <c r="C170" s="7" t="s">
        <v>232</v>
      </c>
      <c r="D170" s="5" t="s">
        <v>191</v>
      </c>
      <c r="E170" s="53" t="s">
        <v>207</v>
      </c>
      <c r="F170" s="5" t="s">
        <v>206</v>
      </c>
      <c r="G170" s="54" t="s">
        <v>205</v>
      </c>
      <c r="H170" s="55">
        <v>161985</v>
      </c>
      <c r="I170" s="6">
        <f t="shared" si="6"/>
        <v>153317.73405872242</v>
      </c>
      <c r="J170" s="6">
        <v>185548</v>
      </c>
      <c r="K170" s="6">
        <f t="shared" si="7"/>
        <v>185548</v>
      </c>
      <c r="L170" s="56">
        <v>0.3101336543507115</v>
      </c>
      <c r="M170" s="64">
        <v>723080</v>
      </c>
      <c r="N170" s="89">
        <f t="shared" si="8"/>
        <v>0.22402085523040327</v>
      </c>
      <c r="O170" s="89">
        <f t="shared" si="9"/>
        <v>0.21203426185031035</v>
      </c>
      <c r="P170" s="89">
        <f t="shared" si="10"/>
        <v>0.2566078442219395</v>
      </c>
      <c r="Q170" s="89">
        <f t="shared" si="5"/>
        <v>0.2566078442219395</v>
      </c>
      <c r="R170" s="109">
        <v>1</v>
      </c>
      <c r="S170" s="109"/>
      <c r="T170" s="170"/>
      <c r="U170" s="170"/>
      <c r="V170" s="170"/>
    </row>
    <row r="171" spans="2:22" x14ac:dyDescent="0.25">
      <c r="B171" s="52" t="s">
        <v>204</v>
      </c>
      <c r="C171" s="7" t="s">
        <v>232</v>
      </c>
      <c r="D171" s="5" t="s">
        <v>191</v>
      </c>
      <c r="E171" s="53" t="s">
        <v>203</v>
      </c>
      <c r="F171" s="5" t="s">
        <v>202</v>
      </c>
      <c r="G171" s="54" t="s">
        <v>201</v>
      </c>
      <c r="H171" s="55">
        <v>63544</v>
      </c>
      <c r="I171" s="6">
        <f t="shared" si="6"/>
        <v>63544</v>
      </c>
      <c r="J171" s="6">
        <v>83084</v>
      </c>
      <c r="K171" s="6">
        <f t="shared" si="7"/>
        <v>83084</v>
      </c>
      <c r="L171" s="56">
        <v>0.31615888203449577</v>
      </c>
      <c r="M171" s="64">
        <v>363188</v>
      </c>
      <c r="N171" s="89">
        <f t="shared" si="8"/>
        <v>0.17496172781039021</v>
      </c>
      <c r="O171" s="89">
        <f t="shared" si="9"/>
        <v>0.17496172781039021</v>
      </c>
      <c r="P171" s="89">
        <f t="shared" si="10"/>
        <v>0.2287630648589711</v>
      </c>
      <c r="Q171" s="89">
        <f t="shared" si="5"/>
        <v>0.2287630648589711</v>
      </c>
      <c r="R171" s="109">
        <v>1</v>
      </c>
      <c r="S171" s="109"/>
      <c r="T171" s="170"/>
      <c r="U171" s="170"/>
      <c r="V171" s="170"/>
    </row>
    <row r="172" spans="2:22" x14ac:dyDescent="0.25">
      <c r="B172" s="52" t="s">
        <v>200</v>
      </c>
      <c r="C172" s="7" t="s">
        <v>232</v>
      </c>
      <c r="D172" s="5" t="s">
        <v>191</v>
      </c>
      <c r="E172" s="53" t="s">
        <v>199</v>
      </c>
      <c r="F172" s="5" t="s">
        <v>198</v>
      </c>
      <c r="G172" s="54" t="s">
        <v>197</v>
      </c>
      <c r="H172" s="63">
        <v>268544</v>
      </c>
      <c r="I172" s="64">
        <f t="shared" si="6"/>
        <v>225657.67520845466</v>
      </c>
      <c r="J172" s="64">
        <v>324956</v>
      </c>
      <c r="K172" s="64">
        <f t="shared" si="7"/>
        <v>286571.80752629135</v>
      </c>
      <c r="L172" s="65">
        <v>0.21006613441372735</v>
      </c>
      <c r="M172" s="64">
        <v>1064251</v>
      </c>
      <c r="N172" s="89">
        <f t="shared" si="8"/>
        <v>0.25233145188494066</v>
      </c>
      <c r="O172" s="89">
        <f t="shared" si="9"/>
        <v>0.21203426185031038</v>
      </c>
      <c r="P172" s="89">
        <f t="shared" si="10"/>
        <v>0.30533774457341362</v>
      </c>
      <c r="Q172" s="89">
        <f t="shared" si="5"/>
        <v>0.26927088396091836</v>
      </c>
      <c r="R172" s="109">
        <v>1</v>
      </c>
      <c r="S172" s="109"/>
      <c r="T172" s="170"/>
      <c r="U172" s="170"/>
      <c r="V172" s="170"/>
    </row>
    <row r="173" spans="2:22" x14ac:dyDescent="0.25">
      <c r="B173" s="52" t="s">
        <v>196</v>
      </c>
      <c r="C173" s="7" t="s">
        <v>232</v>
      </c>
      <c r="D173" s="5" t="s">
        <v>191</v>
      </c>
      <c r="E173" s="53" t="s">
        <v>195</v>
      </c>
      <c r="F173" s="5" t="s">
        <v>194</v>
      </c>
      <c r="G173" s="54" t="s">
        <v>193</v>
      </c>
      <c r="H173" s="63">
        <v>14148</v>
      </c>
      <c r="I173" s="64">
        <f t="shared" si="6"/>
        <v>14148</v>
      </c>
      <c r="J173" s="64">
        <v>34512</v>
      </c>
      <c r="K173" s="64">
        <f t="shared" si="7"/>
        <v>21147.188871870723</v>
      </c>
      <c r="L173" s="65">
        <v>0</v>
      </c>
      <c r="M173" s="64">
        <v>78535</v>
      </c>
      <c r="N173" s="89">
        <f t="shared" si="8"/>
        <v>0.18014897816260267</v>
      </c>
      <c r="O173" s="89">
        <f t="shared" si="9"/>
        <v>0.18014897816260267</v>
      </c>
      <c r="P173" s="89">
        <f t="shared" si="10"/>
        <v>0.43944738014897816</v>
      </c>
      <c r="Q173" s="89">
        <f t="shared" si="5"/>
        <v>0.26927088396091836</v>
      </c>
      <c r="R173" s="109">
        <v>1</v>
      </c>
      <c r="S173" s="109" t="s">
        <v>562</v>
      </c>
      <c r="T173" s="170"/>
      <c r="U173" s="170"/>
      <c r="V173" s="170"/>
    </row>
    <row r="174" spans="2:22" x14ac:dyDescent="0.25">
      <c r="B174" s="52" t="s">
        <v>192</v>
      </c>
      <c r="C174" s="7" t="s">
        <v>232</v>
      </c>
      <c r="D174" s="5" t="s">
        <v>191</v>
      </c>
      <c r="E174" s="53" t="s">
        <v>190</v>
      </c>
      <c r="F174" s="5" t="s">
        <v>189</v>
      </c>
      <c r="G174" s="54" t="s">
        <v>188</v>
      </c>
      <c r="H174" s="55">
        <v>35259</v>
      </c>
      <c r="I174" s="6">
        <f t="shared" si="6"/>
        <v>51376.546335817118</v>
      </c>
      <c r="J174" s="6">
        <v>44073.75</v>
      </c>
      <c r="K174" s="6">
        <f t="shared" si="7"/>
        <v>65807.850564063439</v>
      </c>
      <c r="L174" s="56">
        <v>0</v>
      </c>
      <c r="M174" s="64">
        <v>457000</v>
      </c>
      <c r="N174" s="89">
        <f t="shared" si="8"/>
        <v>7.7153172866520792E-2</v>
      </c>
      <c r="O174" s="89">
        <f t="shared" si="9"/>
        <v>0.11242132677421689</v>
      </c>
      <c r="P174" s="89">
        <f t="shared" si="10"/>
        <v>9.644146608315099E-2</v>
      </c>
      <c r="Q174" s="89">
        <f t="shared" si="5"/>
        <v>0.14399967300670335</v>
      </c>
      <c r="R174" s="109">
        <v>1</v>
      </c>
      <c r="S174" s="109" t="s">
        <v>562</v>
      </c>
      <c r="T174" s="170"/>
      <c r="U174" s="170"/>
      <c r="V174" s="170"/>
    </row>
    <row r="175" spans="2:22" x14ac:dyDescent="0.25">
      <c r="B175" s="57" t="s">
        <v>187</v>
      </c>
      <c r="C175" s="12" t="s">
        <v>2</v>
      </c>
      <c r="D175" s="11" t="s">
        <v>178</v>
      </c>
      <c r="E175" s="58" t="s">
        <v>186</v>
      </c>
      <c r="F175" s="11" t="s">
        <v>185</v>
      </c>
      <c r="G175" s="59" t="s">
        <v>184</v>
      </c>
      <c r="H175" s="60">
        <v>50000</v>
      </c>
      <c r="I175" s="61">
        <f t="shared" si="6"/>
        <v>50000</v>
      </c>
      <c r="J175" s="61">
        <v>68016</v>
      </c>
      <c r="K175" s="61">
        <f t="shared" si="7"/>
        <v>65886.54624197731</v>
      </c>
      <c r="L175" s="62">
        <v>0.38686131386861317</v>
      </c>
      <c r="M175" s="61">
        <v>244685</v>
      </c>
      <c r="N175" s="90">
        <f t="shared" si="8"/>
        <v>0.20434436111735496</v>
      </c>
      <c r="O175" s="90">
        <f t="shared" si="9"/>
        <v>0.20434436111735496</v>
      </c>
      <c r="P175" s="90">
        <f t="shared" si="10"/>
        <v>0.27797372131516029</v>
      </c>
      <c r="Q175" s="90">
        <f t="shared" si="5"/>
        <v>0.26927088396091836</v>
      </c>
      <c r="R175" s="110">
        <v>1</v>
      </c>
      <c r="S175" s="110" t="s">
        <v>562</v>
      </c>
      <c r="T175" s="171"/>
      <c r="U175" s="171"/>
      <c r="V175" s="171"/>
    </row>
    <row r="176" spans="2:22" x14ac:dyDescent="0.25">
      <c r="B176" s="52" t="s">
        <v>183</v>
      </c>
      <c r="C176" s="7" t="s">
        <v>2</v>
      </c>
      <c r="D176" s="5" t="s">
        <v>178</v>
      </c>
      <c r="E176" s="53" t="s">
        <v>182</v>
      </c>
      <c r="F176" s="5" t="s">
        <v>181</v>
      </c>
      <c r="G176" s="54" t="s">
        <v>180</v>
      </c>
      <c r="H176" s="63">
        <v>33962</v>
      </c>
      <c r="I176" s="64">
        <f t="shared" si="6"/>
        <v>26207.858833222064</v>
      </c>
      <c r="J176" s="64">
        <v>47689</v>
      </c>
      <c r="K176" s="64">
        <f t="shared" si="7"/>
        <v>33282.419799337433</v>
      </c>
      <c r="L176" s="65">
        <v>0.40418703256580885</v>
      </c>
      <c r="M176" s="64">
        <v>123602</v>
      </c>
      <c r="N176" s="89">
        <f t="shared" si="8"/>
        <v>0.27476901668257797</v>
      </c>
      <c r="O176" s="89">
        <f t="shared" si="9"/>
        <v>0.21203426185031038</v>
      </c>
      <c r="P176" s="89">
        <f t="shared" si="10"/>
        <v>0.38582709017653438</v>
      </c>
      <c r="Q176" s="89">
        <f t="shared" si="5"/>
        <v>0.26927088396091836</v>
      </c>
      <c r="R176" s="109">
        <v>1</v>
      </c>
      <c r="S176" s="109" t="s">
        <v>562</v>
      </c>
      <c r="T176" s="170"/>
      <c r="U176" s="170"/>
      <c r="V176" s="170"/>
    </row>
    <row r="177" spans="2:22" x14ac:dyDescent="0.25">
      <c r="B177" s="66" t="s">
        <v>179</v>
      </c>
      <c r="C177" s="10" t="s">
        <v>2</v>
      </c>
      <c r="D177" s="8" t="s">
        <v>178</v>
      </c>
      <c r="E177" s="67" t="s">
        <v>177</v>
      </c>
      <c r="F177" s="8" t="s">
        <v>176</v>
      </c>
      <c r="G177" s="68" t="s">
        <v>175</v>
      </c>
      <c r="H177" s="69">
        <v>57730</v>
      </c>
      <c r="I177" s="70">
        <f t="shared" si="6"/>
        <v>57730</v>
      </c>
      <c r="J177" s="70">
        <v>118329</v>
      </c>
      <c r="K177" s="70">
        <f t="shared" si="7"/>
        <v>101769.04569684136</v>
      </c>
      <c r="L177" s="71">
        <v>0.52359258617703097</v>
      </c>
      <c r="M177" s="70">
        <v>377943</v>
      </c>
      <c r="N177" s="91">
        <f t="shared" si="8"/>
        <v>0.15274790113853148</v>
      </c>
      <c r="O177" s="91">
        <f t="shared" si="9"/>
        <v>0.15274790113853148</v>
      </c>
      <c r="P177" s="91">
        <f t="shared" si="10"/>
        <v>0.31308689405545281</v>
      </c>
      <c r="Q177" s="91">
        <f t="shared" si="5"/>
        <v>0.26927088396091836</v>
      </c>
      <c r="R177" s="111">
        <v>1</v>
      </c>
      <c r="S177" s="111"/>
      <c r="T177" s="172"/>
      <c r="U177" s="172"/>
      <c r="V177" s="172"/>
    </row>
    <row r="178" spans="2:22" x14ac:dyDescent="0.25">
      <c r="B178" s="52" t="s">
        <v>174</v>
      </c>
      <c r="C178" s="7" t="s">
        <v>307</v>
      </c>
      <c r="D178" s="5" t="s">
        <v>161</v>
      </c>
      <c r="E178" s="53" t="s">
        <v>173</v>
      </c>
      <c r="F178" s="5" t="s">
        <v>172</v>
      </c>
      <c r="G178" s="54" t="s">
        <v>171</v>
      </c>
      <c r="H178" s="63">
        <v>136385</v>
      </c>
      <c r="I178" s="64">
        <f t="shared" si="6"/>
        <v>136385</v>
      </c>
      <c r="J178" s="64">
        <v>162322</v>
      </c>
      <c r="K178" s="64">
        <f t="shared" si="7"/>
        <v>162322</v>
      </c>
      <c r="L178" s="65">
        <v>0.19137735088169519</v>
      </c>
      <c r="M178" s="64">
        <v>733971</v>
      </c>
      <c r="N178" s="89">
        <f t="shared" si="8"/>
        <v>0.1858179682848505</v>
      </c>
      <c r="O178" s="89">
        <f t="shared" si="9"/>
        <v>0.1858179682848505</v>
      </c>
      <c r="P178" s="89">
        <f t="shared" si="10"/>
        <v>0.22115587673082451</v>
      </c>
      <c r="Q178" s="89">
        <f t="shared" si="5"/>
        <v>0.22115587673082451</v>
      </c>
      <c r="R178" s="109">
        <v>1</v>
      </c>
      <c r="S178" s="109"/>
      <c r="T178" s="170"/>
      <c r="U178" s="170"/>
      <c r="V178" s="170"/>
    </row>
    <row r="179" spans="2:22" x14ac:dyDescent="0.25">
      <c r="B179" s="52" t="s">
        <v>170</v>
      </c>
      <c r="C179" s="7" t="s">
        <v>307</v>
      </c>
      <c r="D179" s="5" t="s">
        <v>161</v>
      </c>
      <c r="E179" s="53" t="s">
        <v>169</v>
      </c>
      <c r="F179" s="5" t="s">
        <v>168</v>
      </c>
      <c r="G179" s="54" t="s">
        <v>167</v>
      </c>
      <c r="H179" s="63">
        <v>35564</v>
      </c>
      <c r="I179" s="64">
        <f t="shared" si="6"/>
        <v>35564</v>
      </c>
      <c r="J179" s="64">
        <v>35564</v>
      </c>
      <c r="K179" s="64">
        <f t="shared" si="7"/>
        <v>35564</v>
      </c>
      <c r="L179" s="65">
        <v>0.19505679901023507</v>
      </c>
      <c r="M179" s="64">
        <v>194390</v>
      </c>
      <c r="N179" s="89">
        <f t="shared" si="8"/>
        <v>0.1829517979319924</v>
      </c>
      <c r="O179" s="89">
        <f t="shared" si="9"/>
        <v>0.1829517979319924</v>
      </c>
      <c r="P179" s="89">
        <f t="shared" si="10"/>
        <v>0.1829517979319924</v>
      </c>
      <c r="Q179" s="89">
        <f t="shared" si="5"/>
        <v>0.1829517979319924</v>
      </c>
      <c r="R179" s="109">
        <v>1</v>
      </c>
      <c r="S179" s="109" t="s">
        <v>562</v>
      </c>
      <c r="T179" s="170"/>
      <c r="U179" s="170"/>
      <c r="V179" s="170"/>
    </row>
    <row r="180" spans="2:22" x14ac:dyDescent="0.25">
      <c r="B180" s="52" t="s">
        <v>166</v>
      </c>
      <c r="C180" s="7" t="s">
        <v>307</v>
      </c>
      <c r="D180" s="5" t="s">
        <v>161</v>
      </c>
      <c r="E180" s="53" t="s">
        <v>165</v>
      </c>
      <c r="F180" s="5" t="s">
        <v>164</v>
      </c>
      <c r="G180" s="54" t="s">
        <v>163</v>
      </c>
      <c r="H180" s="63">
        <v>268365</v>
      </c>
      <c r="I180" s="64">
        <f t="shared" si="6"/>
        <v>222123.91220045739</v>
      </c>
      <c r="J180" s="64">
        <v>287811</v>
      </c>
      <c r="K180" s="64">
        <f t="shared" si="7"/>
        <v>282084.13897419866</v>
      </c>
      <c r="L180" s="65">
        <v>0.15691688558493097</v>
      </c>
      <c r="M180" s="64">
        <v>1047585</v>
      </c>
      <c r="N180" s="89">
        <f t="shared" si="8"/>
        <v>0.2561749165938802</v>
      </c>
      <c r="O180" s="89">
        <f t="shared" si="9"/>
        <v>0.21203426185031038</v>
      </c>
      <c r="P180" s="89">
        <f t="shared" si="10"/>
        <v>0.27473761079053249</v>
      </c>
      <c r="Q180" s="89">
        <f t="shared" si="5"/>
        <v>0.26927088396091836</v>
      </c>
      <c r="R180" s="109">
        <v>1</v>
      </c>
      <c r="S180" s="109"/>
      <c r="T180" s="170"/>
      <c r="U180" s="170"/>
      <c r="V180" s="170"/>
    </row>
    <row r="181" spans="2:22" x14ac:dyDescent="0.25">
      <c r="B181" s="52" t="s">
        <v>162</v>
      </c>
      <c r="C181" s="7" t="s">
        <v>307</v>
      </c>
      <c r="D181" s="5" t="s">
        <v>161</v>
      </c>
      <c r="E181" s="53" t="s">
        <v>160</v>
      </c>
      <c r="F181" s="5" t="s">
        <v>159</v>
      </c>
      <c r="G181" s="54" t="s">
        <v>158</v>
      </c>
      <c r="H181" s="63">
        <v>100535</v>
      </c>
      <c r="I181" s="64">
        <f t="shared" si="6"/>
        <v>80708.509396440291</v>
      </c>
      <c r="J181" s="64">
        <v>102495</v>
      </c>
      <c r="K181" s="64">
        <f t="shared" si="7"/>
        <v>102495</v>
      </c>
      <c r="L181" s="65">
        <v>0.28667628189187844</v>
      </c>
      <c r="M181" s="64">
        <v>380639</v>
      </c>
      <c r="N181" s="89">
        <f t="shared" si="8"/>
        <v>0.26412164807074417</v>
      </c>
      <c r="O181" s="89">
        <f t="shared" si="9"/>
        <v>0.21203426185031038</v>
      </c>
      <c r="P181" s="89">
        <f t="shared" si="10"/>
        <v>0.26927088396091836</v>
      </c>
      <c r="Q181" s="89">
        <f t="shared" si="5"/>
        <v>0.26927088396091836</v>
      </c>
      <c r="R181" s="109">
        <v>1</v>
      </c>
      <c r="S181" s="109"/>
      <c r="T181" s="170"/>
      <c r="U181" s="170"/>
      <c r="V181" s="170"/>
    </row>
    <row r="182" spans="2:22" x14ac:dyDescent="0.25">
      <c r="B182" s="74" t="s">
        <v>157</v>
      </c>
      <c r="C182" s="14" t="s">
        <v>88</v>
      </c>
      <c r="D182" s="13" t="s">
        <v>155</v>
      </c>
      <c r="E182" s="75" t="s">
        <v>156</v>
      </c>
      <c r="F182" s="13" t="s">
        <v>155</v>
      </c>
      <c r="G182" s="76" t="s">
        <v>154</v>
      </c>
      <c r="H182" s="77">
        <v>121523</v>
      </c>
      <c r="I182" s="78">
        <f t="shared" si="6"/>
        <v>82772.026832767515</v>
      </c>
      <c r="J182" s="78">
        <v>152171</v>
      </c>
      <c r="K182" s="78">
        <f t="shared" si="7"/>
        <v>105115.54424270766</v>
      </c>
      <c r="L182" s="79">
        <v>0.21482353134797527</v>
      </c>
      <c r="M182" s="78">
        <v>390371</v>
      </c>
      <c r="N182" s="92">
        <f t="shared" si="8"/>
        <v>0.31130130055767463</v>
      </c>
      <c r="O182" s="92">
        <f t="shared" si="9"/>
        <v>0.21203426185031038</v>
      </c>
      <c r="P182" s="92">
        <f t="shared" si="10"/>
        <v>0.389811230854751</v>
      </c>
      <c r="Q182" s="92">
        <f t="shared" si="5"/>
        <v>0.26927088396091836</v>
      </c>
      <c r="R182" s="112">
        <v>1</v>
      </c>
      <c r="S182" s="112"/>
      <c r="T182" s="173">
        <v>0.26</v>
      </c>
      <c r="U182" s="173">
        <v>0.27</v>
      </c>
      <c r="V182" s="173">
        <v>0.01</v>
      </c>
    </row>
    <row r="183" spans="2:22" x14ac:dyDescent="0.25">
      <c r="B183" s="52" t="s">
        <v>153</v>
      </c>
      <c r="C183" s="7" t="s">
        <v>7</v>
      </c>
      <c r="D183" s="5" t="s">
        <v>124</v>
      </c>
      <c r="E183" s="53" t="s">
        <v>152</v>
      </c>
      <c r="F183" s="5" t="s">
        <v>151</v>
      </c>
      <c r="G183" s="54" t="s">
        <v>150</v>
      </c>
      <c r="H183" s="63">
        <v>23317</v>
      </c>
      <c r="I183" s="64">
        <f t="shared" ref="I183:I214" si="11">IF(N183&gt;$O$114,IF(N183&gt;$O$113,$O$113*M183,H183),$O$114*M183)</f>
        <v>23317</v>
      </c>
      <c r="J183" s="64">
        <v>23323</v>
      </c>
      <c r="K183" s="64">
        <f t="shared" ref="K183:K214" si="12">IF(P183&gt;$P$114,IF(P183&gt;$P$113,$P$113*M183,J183),$P$114*M183)</f>
        <v>23323</v>
      </c>
      <c r="L183" s="65">
        <v>0.12866149161555945</v>
      </c>
      <c r="M183" s="64">
        <v>154546</v>
      </c>
      <c r="N183" s="89">
        <f t="shared" ref="N183:N214" si="13">H183/M183</f>
        <v>0.1508741733852704</v>
      </c>
      <c r="O183" s="89">
        <f t="shared" ref="O183:O219" si="14">+I183/M183</f>
        <v>0.1508741733852704</v>
      </c>
      <c r="P183" s="89">
        <f t="shared" ref="P183:P219" si="15">+J183/M183</f>
        <v>0.15091299677765843</v>
      </c>
      <c r="Q183" s="89">
        <f t="shared" si="5"/>
        <v>0.15091299677765843</v>
      </c>
      <c r="R183" s="109">
        <v>1</v>
      </c>
      <c r="S183" s="109" t="s">
        <v>562</v>
      </c>
      <c r="T183" s="170"/>
      <c r="U183" s="170"/>
      <c r="V183" s="170"/>
    </row>
    <row r="184" spans="2:22" x14ac:dyDescent="0.25">
      <c r="B184" s="52" t="s">
        <v>149</v>
      </c>
      <c r="C184" s="7" t="s">
        <v>7</v>
      </c>
      <c r="D184" s="5" t="s">
        <v>124</v>
      </c>
      <c r="E184" s="53" t="s">
        <v>148</v>
      </c>
      <c r="F184" s="5" t="s">
        <v>147</v>
      </c>
      <c r="G184" s="54" t="s">
        <v>146</v>
      </c>
      <c r="H184" s="63">
        <v>20865</v>
      </c>
      <c r="I184" s="64">
        <f t="shared" si="11"/>
        <v>31631.988714461404</v>
      </c>
      <c r="J184" s="64">
        <v>28973</v>
      </c>
      <c r="K184" s="64">
        <f t="shared" si="12"/>
        <v>40517.187993896121</v>
      </c>
      <c r="L184" s="65">
        <v>0</v>
      </c>
      <c r="M184" s="64">
        <v>281370</v>
      </c>
      <c r="N184" s="89">
        <f t="shared" si="13"/>
        <v>7.4155027188399614E-2</v>
      </c>
      <c r="O184" s="89">
        <f t="shared" si="14"/>
        <v>0.11242132677421689</v>
      </c>
      <c r="P184" s="89">
        <f t="shared" si="15"/>
        <v>0.10297117674236771</v>
      </c>
      <c r="Q184" s="89">
        <f t="shared" ref="Q184:Q219" si="16">+K184/M184</f>
        <v>0.14399967300670335</v>
      </c>
      <c r="R184" s="109">
        <v>1</v>
      </c>
      <c r="S184" s="109" t="s">
        <v>562</v>
      </c>
      <c r="T184" s="170"/>
      <c r="U184" s="170"/>
      <c r="V184" s="170"/>
    </row>
    <row r="185" spans="2:22" x14ac:dyDescent="0.25">
      <c r="B185" s="52" t="s">
        <v>145</v>
      </c>
      <c r="C185" s="7" t="s">
        <v>7</v>
      </c>
      <c r="D185" s="5" t="s">
        <v>124</v>
      </c>
      <c r="E185" s="53" t="s">
        <v>144</v>
      </c>
      <c r="F185" s="5" t="s">
        <v>143</v>
      </c>
      <c r="G185" s="54" t="s">
        <v>142</v>
      </c>
      <c r="H185" s="63">
        <v>159419</v>
      </c>
      <c r="I185" s="64">
        <f t="shared" si="11"/>
        <v>159419</v>
      </c>
      <c r="J185" s="64">
        <v>239986</v>
      </c>
      <c r="K185" s="64">
        <f t="shared" si="12"/>
        <v>239986</v>
      </c>
      <c r="L185" s="65">
        <v>0.42159968385198754</v>
      </c>
      <c r="M185" s="64">
        <v>1264154</v>
      </c>
      <c r="N185" s="89">
        <f t="shared" si="13"/>
        <v>0.12610726224811217</v>
      </c>
      <c r="O185" s="89">
        <f t="shared" si="14"/>
        <v>0.12610726224811217</v>
      </c>
      <c r="P185" s="89">
        <f t="shared" si="15"/>
        <v>0.18983921262757544</v>
      </c>
      <c r="Q185" s="89">
        <f t="shared" si="16"/>
        <v>0.18983921262757544</v>
      </c>
      <c r="R185" s="109">
        <v>1</v>
      </c>
      <c r="S185" s="109"/>
      <c r="T185" s="170"/>
      <c r="U185" s="170"/>
      <c r="V185" s="170"/>
    </row>
    <row r="186" spans="2:22" x14ac:dyDescent="0.25">
      <c r="B186" s="52" t="s">
        <v>141</v>
      </c>
      <c r="C186" s="7" t="s">
        <v>7</v>
      </c>
      <c r="D186" s="5" t="s">
        <v>124</v>
      </c>
      <c r="E186" s="53" t="s">
        <v>140</v>
      </c>
      <c r="F186" s="5" t="s">
        <v>139</v>
      </c>
      <c r="G186" s="54" t="s">
        <v>138</v>
      </c>
      <c r="H186" s="55">
        <v>19623</v>
      </c>
      <c r="I186" s="6">
        <f t="shared" si="11"/>
        <v>21501.92780149027</v>
      </c>
      <c r="J186" s="6">
        <v>25850</v>
      </c>
      <c r="K186" s="6">
        <f t="shared" si="12"/>
        <v>27541.665458608099</v>
      </c>
      <c r="L186" s="56">
        <v>0.31733170259389493</v>
      </c>
      <c r="M186" s="64">
        <v>191262</v>
      </c>
      <c r="N186" s="89">
        <f t="shared" si="13"/>
        <v>0.10259748407943031</v>
      </c>
      <c r="O186" s="89">
        <f t="shared" si="14"/>
        <v>0.11242132677421689</v>
      </c>
      <c r="P186" s="89">
        <f t="shared" si="15"/>
        <v>0.13515491838420596</v>
      </c>
      <c r="Q186" s="89">
        <f t="shared" si="16"/>
        <v>0.14399967300670335</v>
      </c>
      <c r="R186" s="109">
        <v>1</v>
      </c>
      <c r="S186" s="109" t="s">
        <v>562</v>
      </c>
      <c r="T186" s="170"/>
      <c r="U186" s="170"/>
      <c r="V186" s="170"/>
    </row>
    <row r="187" spans="2:22" x14ac:dyDescent="0.25">
      <c r="B187" s="52" t="s">
        <v>137</v>
      </c>
      <c r="C187" s="7" t="s">
        <v>7</v>
      </c>
      <c r="D187" s="5" t="s">
        <v>124</v>
      </c>
      <c r="E187" s="53" t="s">
        <v>136</v>
      </c>
      <c r="F187" s="5" t="s">
        <v>135</v>
      </c>
      <c r="G187" s="54" t="s">
        <v>134</v>
      </c>
      <c r="H187" s="63">
        <v>29112</v>
      </c>
      <c r="I187" s="64">
        <f t="shared" si="11"/>
        <v>29112</v>
      </c>
      <c r="J187" s="64">
        <v>35952</v>
      </c>
      <c r="K187" s="64">
        <f t="shared" si="12"/>
        <v>35952</v>
      </c>
      <c r="L187" s="65">
        <v>0</v>
      </c>
      <c r="M187" s="64">
        <v>177457</v>
      </c>
      <c r="N187" s="89">
        <f t="shared" si="13"/>
        <v>0.16405100954033935</v>
      </c>
      <c r="O187" s="89">
        <f t="shared" si="14"/>
        <v>0.16405100954033935</v>
      </c>
      <c r="P187" s="89">
        <f t="shared" si="15"/>
        <v>0.20259555836061693</v>
      </c>
      <c r="Q187" s="89">
        <f t="shared" si="16"/>
        <v>0.20259555836061693</v>
      </c>
      <c r="R187" s="109">
        <v>1</v>
      </c>
      <c r="S187" s="109" t="s">
        <v>562</v>
      </c>
      <c r="T187" s="170"/>
      <c r="U187" s="170"/>
      <c r="V187" s="170"/>
    </row>
    <row r="188" spans="2:22" x14ac:dyDescent="0.25">
      <c r="B188" s="52" t="s">
        <v>133</v>
      </c>
      <c r="C188" s="7" t="s">
        <v>7</v>
      </c>
      <c r="D188" s="5" t="s">
        <v>124</v>
      </c>
      <c r="E188" s="53" t="s">
        <v>132</v>
      </c>
      <c r="F188" s="5" t="s">
        <v>131</v>
      </c>
      <c r="G188" s="54" t="s">
        <v>130</v>
      </c>
      <c r="H188" s="63">
        <v>47203</v>
      </c>
      <c r="I188" s="64">
        <f t="shared" si="11"/>
        <v>47203</v>
      </c>
      <c r="J188" s="64">
        <v>51630</v>
      </c>
      <c r="K188" s="64">
        <f t="shared" si="12"/>
        <v>51630</v>
      </c>
      <c r="L188" s="65">
        <v>0.14696099824163719</v>
      </c>
      <c r="M188" s="64">
        <v>233242</v>
      </c>
      <c r="N188" s="89">
        <f t="shared" si="13"/>
        <v>0.20237778787696897</v>
      </c>
      <c r="O188" s="89">
        <f t="shared" si="14"/>
        <v>0.20237778787696897</v>
      </c>
      <c r="P188" s="89">
        <f t="shared" si="15"/>
        <v>0.22135807444628325</v>
      </c>
      <c r="Q188" s="89">
        <f t="shared" si="16"/>
        <v>0.22135807444628325</v>
      </c>
      <c r="R188" s="109">
        <v>1</v>
      </c>
      <c r="S188" s="109" t="s">
        <v>562</v>
      </c>
      <c r="T188" s="170"/>
      <c r="U188" s="170"/>
      <c r="V188" s="170"/>
    </row>
    <row r="189" spans="2:22" x14ac:dyDescent="0.25">
      <c r="B189" s="52" t="s">
        <v>129</v>
      </c>
      <c r="C189" s="7" t="s">
        <v>7</v>
      </c>
      <c r="D189" s="5" t="s">
        <v>124</v>
      </c>
      <c r="E189" s="53" t="s">
        <v>128</v>
      </c>
      <c r="F189" s="5" t="s">
        <v>127</v>
      </c>
      <c r="G189" s="54" t="s">
        <v>126</v>
      </c>
      <c r="H189" s="63">
        <v>56571</v>
      </c>
      <c r="I189" s="64">
        <f t="shared" si="11"/>
        <v>56571</v>
      </c>
      <c r="J189" s="64">
        <v>91284</v>
      </c>
      <c r="K189" s="64">
        <f t="shared" si="12"/>
        <v>91284</v>
      </c>
      <c r="L189" s="65">
        <v>0.2931714129147443</v>
      </c>
      <c r="M189" s="64">
        <v>381570</v>
      </c>
      <c r="N189" s="89">
        <f t="shared" si="13"/>
        <v>0.14825851088922085</v>
      </c>
      <c r="O189" s="89">
        <f t="shared" si="14"/>
        <v>0.14825851088922085</v>
      </c>
      <c r="P189" s="89">
        <f t="shared" si="15"/>
        <v>0.23923264407579212</v>
      </c>
      <c r="Q189" s="89">
        <f t="shared" si="16"/>
        <v>0.23923264407579212</v>
      </c>
      <c r="R189" s="109">
        <v>1</v>
      </c>
      <c r="S189" s="109"/>
      <c r="T189" s="170"/>
      <c r="U189" s="170"/>
      <c r="V189" s="170"/>
    </row>
    <row r="190" spans="2:22" x14ac:dyDescent="0.25">
      <c r="B190" s="52" t="s">
        <v>125</v>
      </c>
      <c r="C190" s="7" t="s">
        <v>7</v>
      </c>
      <c r="D190" s="5" t="s">
        <v>124</v>
      </c>
      <c r="E190" s="53" t="s">
        <v>123</v>
      </c>
      <c r="F190" s="5" t="s">
        <v>122</v>
      </c>
      <c r="G190" s="54" t="s">
        <v>121</v>
      </c>
      <c r="H190" s="63">
        <v>40861</v>
      </c>
      <c r="I190" s="64">
        <f t="shared" si="11"/>
        <v>40861</v>
      </c>
      <c r="J190" s="64">
        <v>48775</v>
      </c>
      <c r="K190" s="64">
        <f t="shared" si="12"/>
        <v>48775</v>
      </c>
      <c r="L190" s="65">
        <v>0</v>
      </c>
      <c r="M190" s="64">
        <v>245684</v>
      </c>
      <c r="N190" s="89">
        <f t="shared" si="13"/>
        <v>0.16631526676543854</v>
      </c>
      <c r="O190" s="89">
        <f t="shared" si="14"/>
        <v>0.16631526676543854</v>
      </c>
      <c r="P190" s="89">
        <f t="shared" si="15"/>
        <v>0.19852737663014278</v>
      </c>
      <c r="Q190" s="89">
        <f t="shared" si="16"/>
        <v>0.19852737663014278</v>
      </c>
      <c r="R190" s="109">
        <v>1</v>
      </c>
      <c r="S190" s="109" t="s">
        <v>562</v>
      </c>
      <c r="T190" s="170"/>
      <c r="U190" s="170"/>
      <c r="V190" s="170"/>
    </row>
    <row r="191" spans="2:22" x14ac:dyDescent="0.25">
      <c r="B191" s="57" t="s">
        <v>120</v>
      </c>
      <c r="C191" s="12" t="s">
        <v>144</v>
      </c>
      <c r="D191" s="11" t="s">
        <v>115</v>
      </c>
      <c r="E191" s="58" t="s">
        <v>119</v>
      </c>
      <c r="F191" s="11" t="s">
        <v>118</v>
      </c>
      <c r="G191" s="59" t="s">
        <v>117</v>
      </c>
      <c r="H191" s="60">
        <v>371400</v>
      </c>
      <c r="I191" s="61">
        <f t="shared" si="11"/>
        <v>371400</v>
      </c>
      <c r="J191" s="61">
        <v>464250</v>
      </c>
      <c r="K191" s="61">
        <f t="shared" si="12"/>
        <v>464250</v>
      </c>
      <c r="L191" s="62">
        <v>0.16222132471728595</v>
      </c>
      <c r="M191" s="61">
        <v>2584126</v>
      </c>
      <c r="N191" s="90">
        <f t="shared" si="13"/>
        <v>0.14372364195863516</v>
      </c>
      <c r="O191" s="90">
        <f t="shared" si="14"/>
        <v>0.14372364195863516</v>
      </c>
      <c r="P191" s="90">
        <f t="shared" si="15"/>
        <v>0.17965455244829392</v>
      </c>
      <c r="Q191" s="90">
        <f t="shared" si="16"/>
        <v>0.17965455244829392</v>
      </c>
      <c r="R191" s="110">
        <v>1</v>
      </c>
      <c r="S191" s="110"/>
      <c r="T191" s="171"/>
      <c r="U191" s="171"/>
      <c r="V191" s="171"/>
    </row>
    <row r="192" spans="2:22" x14ac:dyDescent="0.25">
      <c r="B192" s="66" t="s">
        <v>116</v>
      </c>
      <c r="C192" s="10" t="s">
        <v>144</v>
      </c>
      <c r="D192" s="8" t="s">
        <v>115</v>
      </c>
      <c r="E192" s="67" t="s">
        <v>114</v>
      </c>
      <c r="F192" s="8" t="s">
        <v>113</v>
      </c>
      <c r="G192" s="68" t="s">
        <v>112</v>
      </c>
      <c r="H192" s="69">
        <v>225693</v>
      </c>
      <c r="I192" s="70">
        <f t="shared" si="11"/>
        <v>225693</v>
      </c>
      <c r="J192" s="70">
        <v>358043.75</v>
      </c>
      <c r="K192" s="70">
        <f t="shared" si="12"/>
        <v>358043.75</v>
      </c>
      <c r="L192" s="71">
        <v>0.19168516524659604</v>
      </c>
      <c r="M192" s="70">
        <v>1465559</v>
      </c>
      <c r="N192" s="91">
        <f t="shared" si="13"/>
        <v>0.15399789431882305</v>
      </c>
      <c r="O192" s="91">
        <f t="shared" si="14"/>
        <v>0.15399789431882305</v>
      </c>
      <c r="P192" s="91">
        <f t="shared" si="15"/>
        <v>0.24430524461997094</v>
      </c>
      <c r="Q192" s="91">
        <f t="shared" si="16"/>
        <v>0.24430524461997094</v>
      </c>
      <c r="R192" s="111">
        <v>1</v>
      </c>
      <c r="S192" s="111"/>
      <c r="T192" s="172"/>
      <c r="U192" s="172"/>
      <c r="V192" s="172"/>
    </row>
    <row r="193" spans="2:22" x14ac:dyDescent="0.25">
      <c r="B193" s="52" t="s">
        <v>111</v>
      </c>
      <c r="C193" s="7" t="s">
        <v>285</v>
      </c>
      <c r="D193" s="5" t="s">
        <v>93</v>
      </c>
      <c r="E193" s="53" t="s">
        <v>110</v>
      </c>
      <c r="F193" s="5" t="s">
        <v>109</v>
      </c>
      <c r="G193" s="54" t="s">
        <v>108</v>
      </c>
      <c r="H193" s="63">
        <v>183441</v>
      </c>
      <c r="I193" s="64">
        <f t="shared" si="11"/>
        <v>183441</v>
      </c>
      <c r="J193" s="64">
        <v>183441</v>
      </c>
      <c r="K193" s="64">
        <f t="shared" si="12"/>
        <v>187646.40589405416</v>
      </c>
      <c r="L193" s="65">
        <v>0.52135018888907059</v>
      </c>
      <c r="M193" s="64">
        <v>1303103</v>
      </c>
      <c r="N193" s="89">
        <f t="shared" si="13"/>
        <v>0.14077244853246443</v>
      </c>
      <c r="O193" s="89">
        <f t="shared" si="14"/>
        <v>0.14077244853246443</v>
      </c>
      <c r="P193" s="89">
        <f t="shared" si="15"/>
        <v>0.14077244853246443</v>
      </c>
      <c r="Q193" s="89">
        <f t="shared" si="16"/>
        <v>0.14399967300670335</v>
      </c>
      <c r="R193" s="109">
        <v>1</v>
      </c>
      <c r="S193" s="109"/>
      <c r="T193" s="170"/>
      <c r="U193" s="170"/>
      <c r="V193" s="170"/>
    </row>
    <row r="194" spans="2:22" x14ac:dyDescent="0.25">
      <c r="B194" s="52" t="s">
        <v>107</v>
      </c>
      <c r="C194" s="7" t="s">
        <v>285</v>
      </c>
      <c r="D194" s="5" t="s">
        <v>93</v>
      </c>
      <c r="E194" s="53" t="s">
        <v>106</v>
      </c>
      <c r="F194" s="5" t="s">
        <v>105</v>
      </c>
      <c r="G194" s="54" t="s">
        <v>104</v>
      </c>
      <c r="H194" s="63">
        <v>117232</v>
      </c>
      <c r="I194" s="64">
        <f t="shared" si="11"/>
        <v>117232</v>
      </c>
      <c r="J194" s="64">
        <v>120567</v>
      </c>
      <c r="K194" s="64">
        <f t="shared" si="12"/>
        <v>120567</v>
      </c>
      <c r="L194" s="65">
        <v>0.44519414494336018</v>
      </c>
      <c r="M194" s="64">
        <v>797697</v>
      </c>
      <c r="N194" s="89">
        <f t="shared" si="13"/>
        <v>0.14696306993758282</v>
      </c>
      <c r="O194" s="89">
        <f t="shared" si="14"/>
        <v>0.14696306993758282</v>
      </c>
      <c r="P194" s="89">
        <f t="shared" si="15"/>
        <v>0.1511438553736569</v>
      </c>
      <c r="Q194" s="89">
        <f t="shared" si="16"/>
        <v>0.1511438553736569</v>
      </c>
      <c r="R194" s="109">
        <v>1</v>
      </c>
      <c r="S194" s="109"/>
      <c r="T194" s="170"/>
      <c r="U194" s="170"/>
      <c r="V194" s="170"/>
    </row>
    <row r="195" spans="2:22" x14ac:dyDescent="0.25">
      <c r="B195" s="52" t="s">
        <v>103</v>
      </c>
      <c r="C195" s="7" t="s">
        <v>285</v>
      </c>
      <c r="D195" s="5" t="s">
        <v>93</v>
      </c>
      <c r="E195" s="53" t="s">
        <v>102</v>
      </c>
      <c r="F195" s="5" t="s">
        <v>101</v>
      </c>
      <c r="G195" s="54" t="s">
        <v>100</v>
      </c>
      <c r="H195" s="63">
        <v>63009</v>
      </c>
      <c r="I195" s="64">
        <f t="shared" si="11"/>
        <v>63009</v>
      </c>
      <c r="J195" s="64">
        <v>108598</v>
      </c>
      <c r="K195" s="64">
        <f t="shared" si="12"/>
        <v>83842.067326259261</v>
      </c>
      <c r="L195" s="65">
        <v>0.50773698995381611</v>
      </c>
      <c r="M195" s="64">
        <v>311367</v>
      </c>
      <c r="N195" s="89">
        <f t="shared" si="13"/>
        <v>0.20236248542716473</v>
      </c>
      <c r="O195" s="89">
        <f t="shared" si="14"/>
        <v>0.20236248542716473</v>
      </c>
      <c r="P195" s="89">
        <f t="shared" si="15"/>
        <v>0.34877812998808477</v>
      </c>
      <c r="Q195" s="89">
        <f t="shared" si="16"/>
        <v>0.26927088396091836</v>
      </c>
      <c r="R195" s="109">
        <v>1</v>
      </c>
      <c r="S195" s="109"/>
      <c r="T195" s="170"/>
      <c r="U195" s="170"/>
      <c r="V195" s="170"/>
    </row>
    <row r="196" spans="2:22" x14ac:dyDescent="0.25">
      <c r="B196" s="52" t="s">
        <v>99</v>
      </c>
      <c r="C196" s="7" t="s">
        <v>285</v>
      </c>
      <c r="D196" s="5" t="s">
        <v>93</v>
      </c>
      <c r="E196" s="53" t="s">
        <v>98</v>
      </c>
      <c r="F196" s="5" t="s">
        <v>97</v>
      </c>
      <c r="G196" s="54" t="s">
        <v>96</v>
      </c>
      <c r="H196" s="63">
        <v>83074</v>
      </c>
      <c r="I196" s="64">
        <f t="shared" si="11"/>
        <v>83074</v>
      </c>
      <c r="J196" s="64">
        <v>120867</v>
      </c>
      <c r="K196" s="64">
        <f t="shared" si="12"/>
        <v>120867</v>
      </c>
      <c r="L196" s="65">
        <v>0.26956521739130435</v>
      </c>
      <c r="M196" s="64">
        <v>572771</v>
      </c>
      <c r="N196" s="89">
        <f t="shared" si="13"/>
        <v>0.14503876767503943</v>
      </c>
      <c r="O196" s="89">
        <f t="shared" si="14"/>
        <v>0.14503876767503943</v>
      </c>
      <c r="P196" s="89">
        <f t="shared" si="15"/>
        <v>0.21102150772298178</v>
      </c>
      <c r="Q196" s="89">
        <f t="shared" si="16"/>
        <v>0.21102150772298178</v>
      </c>
      <c r="R196" s="109">
        <v>1</v>
      </c>
      <c r="S196" s="109"/>
      <c r="T196" s="170"/>
      <c r="U196" s="170"/>
      <c r="V196" s="170"/>
    </row>
    <row r="197" spans="2:22" x14ac:dyDescent="0.25">
      <c r="B197" s="52" t="s">
        <v>94</v>
      </c>
      <c r="C197" s="7" t="s">
        <v>285</v>
      </c>
      <c r="D197" s="5" t="s">
        <v>93</v>
      </c>
      <c r="E197" s="53" t="s">
        <v>92</v>
      </c>
      <c r="F197" s="5" t="s">
        <v>91</v>
      </c>
      <c r="G197" s="54" t="s">
        <v>90</v>
      </c>
      <c r="H197" s="63">
        <v>108850</v>
      </c>
      <c r="I197" s="64">
        <f t="shared" si="11"/>
        <v>108850</v>
      </c>
      <c r="J197" s="64">
        <v>164189</v>
      </c>
      <c r="K197" s="64">
        <f t="shared" si="12"/>
        <v>164189</v>
      </c>
      <c r="L197" s="65">
        <v>0.51502985760220488</v>
      </c>
      <c r="M197" s="64">
        <v>645201</v>
      </c>
      <c r="N197" s="89">
        <f t="shared" si="13"/>
        <v>0.16870711607700545</v>
      </c>
      <c r="O197" s="89">
        <f t="shared" si="14"/>
        <v>0.16870711607700545</v>
      </c>
      <c r="P197" s="89">
        <f t="shared" si="15"/>
        <v>0.25447728692298988</v>
      </c>
      <c r="Q197" s="89">
        <f t="shared" si="16"/>
        <v>0.25447728692298988</v>
      </c>
      <c r="R197" s="109">
        <v>1</v>
      </c>
      <c r="S197" s="109"/>
      <c r="T197" s="170"/>
      <c r="U197" s="170"/>
      <c r="V197" s="170"/>
    </row>
    <row r="198" spans="2:22" x14ac:dyDescent="0.25">
      <c r="B198" s="57" t="s">
        <v>89</v>
      </c>
      <c r="C198" s="12" t="s">
        <v>340</v>
      </c>
      <c r="D198" s="11" t="s">
        <v>80</v>
      </c>
      <c r="E198" s="58" t="s">
        <v>88</v>
      </c>
      <c r="F198" s="11" t="s">
        <v>87</v>
      </c>
      <c r="G198" s="59" t="s">
        <v>86</v>
      </c>
      <c r="H198" s="60">
        <v>112002</v>
      </c>
      <c r="I198" s="61">
        <f t="shared" si="11"/>
        <v>112002</v>
      </c>
      <c r="J198" s="61">
        <v>120701</v>
      </c>
      <c r="K198" s="61">
        <f t="shared" si="12"/>
        <v>120701</v>
      </c>
      <c r="L198" s="62">
        <v>0.16406849877680757</v>
      </c>
      <c r="M198" s="61">
        <v>543264</v>
      </c>
      <c r="N198" s="90">
        <f t="shared" si="13"/>
        <v>0.20616495847322849</v>
      </c>
      <c r="O198" s="90">
        <f t="shared" si="14"/>
        <v>0.20616495847322849</v>
      </c>
      <c r="P198" s="90">
        <f t="shared" si="15"/>
        <v>0.2221774312304883</v>
      </c>
      <c r="Q198" s="90">
        <f t="shared" si="16"/>
        <v>0.2221774312304883</v>
      </c>
      <c r="R198" s="110">
        <v>1</v>
      </c>
      <c r="S198" s="110"/>
      <c r="T198" s="171"/>
      <c r="U198" s="171"/>
      <c r="V198" s="171"/>
    </row>
    <row r="199" spans="2:22" x14ac:dyDescent="0.25">
      <c r="B199" s="52" t="s">
        <v>85</v>
      </c>
      <c r="C199" s="7" t="s">
        <v>340</v>
      </c>
      <c r="D199" s="5" t="s">
        <v>80</v>
      </c>
      <c r="E199" s="53" t="s">
        <v>84</v>
      </c>
      <c r="F199" s="5" t="s">
        <v>83</v>
      </c>
      <c r="G199" s="54" t="s">
        <v>82</v>
      </c>
      <c r="H199" s="63">
        <v>134819</v>
      </c>
      <c r="I199" s="64">
        <f t="shared" si="11"/>
        <v>134819</v>
      </c>
      <c r="J199" s="64">
        <v>163747</v>
      </c>
      <c r="K199" s="64">
        <f t="shared" si="12"/>
        <v>163747</v>
      </c>
      <c r="L199" s="65">
        <v>0.16163152077971205</v>
      </c>
      <c r="M199" s="64">
        <v>807692</v>
      </c>
      <c r="N199" s="89">
        <f t="shared" si="13"/>
        <v>0.16691882549288589</v>
      </c>
      <c r="O199" s="89">
        <f t="shared" si="14"/>
        <v>0.16691882549288589</v>
      </c>
      <c r="P199" s="89">
        <f t="shared" si="15"/>
        <v>0.20273445818455549</v>
      </c>
      <c r="Q199" s="89">
        <f t="shared" si="16"/>
        <v>0.20273445818455549</v>
      </c>
      <c r="R199" s="109">
        <v>1</v>
      </c>
      <c r="S199" s="109"/>
      <c r="T199" s="170"/>
      <c r="U199" s="170"/>
      <c r="V199" s="170"/>
    </row>
    <row r="200" spans="2:22" x14ac:dyDescent="0.25">
      <c r="B200" s="66" t="s">
        <v>81</v>
      </c>
      <c r="C200" s="10" t="s">
        <v>340</v>
      </c>
      <c r="D200" s="8" t="s">
        <v>80</v>
      </c>
      <c r="E200" s="67" t="s">
        <v>79</v>
      </c>
      <c r="F200" s="8" t="s">
        <v>78</v>
      </c>
      <c r="G200" s="68" t="s">
        <v>77</v>
      </c>
      <c r="H200" s="69">
        <v>106637</v>
      </c>
      <c r="I200" s="70">
        <f t="shared" si="11"/>
        <v>106637</v>
      </c>
      <c r="J200" s="70">
        <v>113855</v>
      </c>
      <c r="K200" s="70">
        <f t="shared" si="12"/>
        <v>113855</v>
      </c>
      <c r="L200" s="71">
        <v>0.57568807339449546</v>
      </c>
      <c r="M200" s="70">
        <v>573651</v>
      </c>
      <c r="N200" s="91">
        <f t="shared" si="13"/>
        <v>0.18589177043184793</v>
      </c>
      <c r="O200" s="91">
        <f t="shared" si="14"/>
        <v>0.18589177043184793</v>
      </c>
      <c r="P200" s="91">
        <f t="shared" si="15"/>
        <v>0.19847433369766634</v>
      </c>
      <c r="Q200" s="91">
        <f t="shared" si="16"/>
        <v>0.19847433369766634</v>
      </c>
      <c r="R200" s="111">
        <v>1</v>
      </c>
      <c r="S200" s="111"/>
      <c r="T200" s="172"/>
      <c r="U200" s="172"/>
      <c r="V200" s="172"/>
    </row>
    <row r="201" spans="2:22" x14ac:dyDescent="0.25">
      <c r="B201" s="52" t="s">
        <v>76</v>
      </c>
      <c r="C201" s="7" t="s">
        <v>173</v>
      </c>
      <c r="D201" s="5" t="s">
        <v>63</v>
      </c>
      <c r="E201" s="53" t="s">
        <v>75</v>
      </c>
      <c r="F201" s="5" t="s">
        <v>74</v>
      </c>
      <c r="G201" s="54" t="s">
        <v>73</v>
      </c>
      <c r="H201" s="63">
        <v>56645</v>
      </c>
      <c r="I201" s="64">
        <f t="shared" si="11"/>
        <v>56645</v>
      </c>
      <c r="J201" s="64">
        <v>59546</v>
      </c>
      <c r="K201" s="64">
        <f t="shared" si="12"/>
        <v>59546</v>
      </c>
      <c r="L201" s="65">
        <v>0.44173360402506839</v>
      </c>
      <c r="M201" s="64">
        <v>355419</v>
      </c>
      <c r="N201" s="89">
        <f t="shared" si="13"/>
        <v>0.15937527256561973</v>
      </c>
      <c r="O201" s="89">
        <f t="shared" si="14"/>
        <v>0.15937527256561973</v>
      </c>
      <c r="P201" s="89">
        <f t="shared" si="15"/>
        <v>0.16753746985951792</v>
      </c>
      <c r="Q201" s="89">
        <f t="shared" si="16"/>
        <v>0.16753746985951792</v>
      </c>
      <c r="R201" s="109">
        <v>1</v>
      </c>
      <c r="S201" s="109"/>
      <c r="T201" s="170"/>
      <c r="U201" s="170"/>
      <c r="V201" s="170"/>
    </row>
    <row r="202" spans="2:22" x14ac:dyDescent="0.25">
      <c r="B202" s="52" t="s">
        <v>72</v>
      </c>
      <c r="C202" s="7" t="s">
        <v>173</v>
      </c>
      <c r="D202" s="5" t="s">
        <v>63</v>
      </c>
      <c r="E202" s="53" t="s">
        <v>71</v>
      </c>
      <c r="F202" s="5" t="s">
        <v>70</v>
      </c>
      <c r="G202" s="54" t="s">
        <v>69</v>
      </c>
      <c r="H202" s="63">
        <v>143779</v>
      </c>
      <c r="I202" s="64">
        <f t="shared" si="11"/>
        <v>133395.84295231468</v>
      </c>
      <c r="J202" s="64">
        <v>143779</v>
      </c>
      <c r="K202" s="64">
        <f t="shared" si="12"/>
        <v>143779</v>
      </c>
      <c r="L202" s="65">
        <v>0.35383470465088784</v>
      </c>
      <c r="M202" s="64">
        <v>629124</v>
      </c>
      <c r="N202" s="89">
        <f t="shared" si="13"/>
        <v>0.22853841214132667</v>
      </c>
      <c r="O202" s="89">
        <f t="shared" si="14"/>
        <v>0.21203426185031041</v>
      </c>
      <c r="P202" s="89">
        <f t="shared" si="15"/>
        <v>0.22853841214132667</v>
      </c>
      <c r="Q202" s="89">
        <f t="shared" si="16"/>
        <v>0.22853841214132667</v>
      </c>
      <c r="R202" s="109">
        <v>1</v>
      </c>
      <c r="S202" s="109"/>
      <c r="T202" s="170"/>
      <c r="U202" s="170"/>
      <c r="V202" s="170"/>
    </row>
    <row r="203" spans="2:22" x14ac:dyDescent="0.25">
      <c r="B203" s="52" t="s">
        <v>68</v>
      </c>
      <c r="C203" s="7" t="s">
        <v>173</v>
      </c>
      <c r="D203" s="5" t="s">
        <v>63</v>
      </c>
      <c r="E203" s="53" t="s">
        <v>67</v>
      </c>
      <c r="F203" s="5" t="s">
        <v>66</v>
      </c>
      <c r="G203" s="54" t="s">
        <v>65</v>
      </c>
      <c r="H203" s="63">
        <v>92595</v>
      </c>
      <c r="I203" s="64">
        <f t="shared" si="11"/>
        <v>79153.66215429196</v>
      </c>
      <c r="J203" s="64">
        <v>114202</v>
      </c>
      <c r="K203" s="64">
        <f t="shared" si="12"/>
        <v>100520.43660791458</v>
      </c>
      <c r="L203" s="65">
        <v>0.28006911820292674</v>
      </c>
      <c r="M203" s="64">
        <v>373306</v>
      </c>
      <c r="N203" s="89">
        <f t="shared" si="13"/>
        <v>0.24804048153525526</v>
      </c>
      <c r="O203" s="89">
        <f t="shared" si="14"/>
        <v>0.21203426185031035</v>
      </c>
      <c r="P203" s="89">
        <f t="shared" si="15"/>
        <v>0.30592061204481041</v>
      </c>
      <c r="Q203" s="89">
        <f t="shared" si="16"/>
        <v>0.26927088396091836</v>
      </c>
      <c r="R203" s="109">
        <v>1</v>
      </c>
      <c r="S203" s="109"/>
      <c r="T203" s="170"/>
      <c r="U203" s="170"/>
      <c r="V203" s="170"/>
    </row>
    <row r="204" spans="2:22" x14ac:dyDescent="0.25">
      <c r="B204" s="52" t="s">
        <v>64</v>
      </c>
      <c r="C204" s="7" t="s">
        <v>173</v>
      </c>
      <c r="D204" s="5" t="s">
        <v>63</v>
      </c>
      <c r="E204" s="53" t="s">
        <v>62</v>
      </c>
      <c r="F204" s="5" t="s">
        <v>61</v>
      </c>
      <c r="G204" s="54" t="s">
        <v>60</v>
      </c>
      <c r="H204" s="63">
        <v>32243</v>
      </c>
      <c r="I204" s="64">
        <f t="shared" si="11"/>
        <v>48550.49902336685</v>
      </c>
      <c r="J204" s="64">
        <v>98966</v>
      </c>
      <c r="K204" s="64">
        <f t="shared" si="12"/>
        <v>98966</v>
      </c>
      <c r="L204" s="65">
        <v>0.43434343434343436</v>
      </c>
      <c r="M204" s="64">
        <v>431862</v>
      </c>
      <c r="N204" s="89">
        <f t="shared" si="13"/>
        <v>7.4660423931718928E-2</v>
      </c>
      <c r="O204" s="89">
        <f t="shared" si="14"/>
        <v>0.11242132677421689</v>
      </c>
      <c r="P204" s="89">
        <f t="shared" si="15"/>
        <v>0.2291611672247153</v>
      </c>
      <c r="Q204" s="89">
        <f t="shared" si="16"/>
        <v>0.2291611672247153</v>
      </c>
      <c r="R204" s="109">
        <v>1</v>
      </c>
      <c r="S204" s="109" t="s">
        <v>562</v>
      </c>
      <c r="T204" s="170"/>
      <c r="U204" s="170"/>
      <c r="V204" s="170"/>
    </row>
    <row r="205" spans="2:22" x14ac:dyDescent="0.25">
      <c r="B205" s="57" t="s">
        <v>59</v>
      </c>
      <c r="C205" s="12" t="s">
        <v>224</v>
      </c>
      <c r="D205" s="11" t="s">
        <v>38</v>
      </c>
      <c r="E205" s="58" t="s">
        <v>58</v>
      </c>
      <c r="F205" s="11" t="s">
        <v>57</v>
      </c>
      <c r="G205" s="59" t="s">
        <v>56</v>
      </c>
      <c r="H205" s="60">
        <v>28908</v>
      </c>
      <c r="I205" s="61">
        <f t="shared" si="11"/>
        <v>28908</v>
      </c>
      <c r="J205" s="61">
        <v>38461</v>
      </c>
      <c r="K205" s="61">
        <f t="shared" si="12"/>
        <v>38461</v>
      </c>
      <c r="L205" s="62">
        <v>0.35142521101425211</v>
      </c>
      <c r="M205" s="61">
        <v>160976</v>
      </c>
      <c r="N205" s="90">
        <f t="shared" si="13"/>
        <v>0.17957956465560085</v>
      </c>
      <c r="O205" s="90">
        <f t="shared" si="14"/>
        <v>0.17957956465560085</v>
      </c>
      <c r="P205" s="90">
        <f t="shared" si="15"/>
        <v>0.23892381473014612</v>
      </c>
      <c r="Q205" s="90">
        <f t="shared" si="16"/>
        <v>0.23892381473014612</v>
      </c>
      <c r="R205" s="110">
        <v>1</v>
      </c>
      <c r="S205" s="110" t="s">
        <v>562</v>
      </c>
      <c r="T205" s="171"/>
      <c r="U205" s="171"/>
      <c r="V205" s="171"/>
    </row>
    <row r="206" spans="2:22" x14ac:dyDescent="0.25">
      <c r="B206" s="52" t="s">
        <v>55</v>
      </c>
      <c r="C206" s="7" t="s">
        <v>224</v>
      </c>
      <c r="D206" s="5" t="s">
        <v>38</v>
      </c>
      <c r="E206" s="53" t="s">
        <v>54</v>
      </c>
      <c r="F206" s="5" t="s">
        <v>53</v>
      </c>
      <c r="G206" s="54" t="s">
        <v>52</v>
      </c>
      <c r="H206" s="63">
        <v>30488</v>
      </c>
      <c r="I206" s="64">
        <f t="shared" si="11"/>
        <v>29192.453103027034</v>
      </c>
      <c r="J206" s="64">
        <v>58366</v>
      </c>
      <c r="K206" s="64">
        <f t="shared" si="12"/>
        <v>37072.676761971321</v>
      </c>
      <c r="L206" s="65">
        <v>0.30549724481763318</v>
      </c>
      <c r="M206" s="64">
        <v>137678</v>
      </c>
      <c r="N206" s="89">
        <f t="shared" si="13"/>
        <v>0.22144423945728439</v>
      </c>
      <c r="O206" s="89">
        <f t="shared" si="14"/>
        <v>0.21203426185031038</v>
      </c>
      <c r="P206" s="89">
        <f t="shared" si="15"/>
        <v>0.42393120178968319</v>
      </c>
      <c r="Q206" s="89">
        <f t="shared" si="16"/>
        <v>0.26927088396091836</v>
      </c>
      <c r="R206" s="109">
        <v>1</v>
      </c>
      <c r="S206" s="109" t="s">
        <v>562</v>
      </c>
      <c r="T206" s="170"/>
      <c r="U206" s="170"/>
      <c r="V206" s="170"/>
    </row>
    <row r="207" spans="2:22" x14ac:dyDescent="0.25">
      <c r="B207" s="52" t="s">
        <v>51</v>
      </c>
      <c r="C207" s="7" t="s">
        <v>224</v>
      </c>
      <c r="D207" s="5" t="s">
        <v>38</v>
      </c>
      <c r="E207" s="53" t="s">
        <v>50</v>
      </c>
      <c r="F207" s="5" t="s">
        <v>49</v>
      </c>
      <c r="G207" s="54" t="s">
        <v>48</v>
      </c>
      <c r="H207" s="55">
        <v>178783</v>
      </c>
      <c r="I207" s="6">
        <f t="shared" si="11"/>
        <v>178783</v>
      </c>
      <c r="J207" s="6">
        <v>227766</v>
      </c>
      <c r="K207" s="6">
        <f t="shared" si="12"/>
        <v>227766</v>
      </c>
      <c r="L207" s="56">
        <v>0.43239569757751017</v>
      </c>
      <c r="M207" s="64">
        <v>1084296</v>
      </c>
      <c r="N207" s="89">
        <f t="shared" si="13"/>
        <v>0.16488394312992025</v>
      </c>
      <c r="O207" s="89">
        <f t="shared" si="14"/>
        <v>0.16488394312992025</v>
      </c>
      <c r="P207" s="89">
        <f t="shared" si="15"/>
        <v>0.21005887691183958</v>
      </c>
      <c r="Q207" s="89">
        <f t="shared" si="16"/>
        <v>0.21005887691183958</v>
      </c>
      <c r="R207" s="109">
        <v>1</v>
      </c>
      <c r="S207" s="109"/>
      <c r="T207" s="170"/>
      <c r="U207" s="170"/>
      <c r="V207" s="170"/>
    </row>
    <row r="208" spans="2:22" x14ac:dyDescent="0.25">
      <c r="B208" s="52" t="s">
        <v>47</v>
      </c>
      <c r="C208" s="7" t="s">
        <v>224</v>
      </c>
      <c r="D208" s="5" t="s">
        <v>38</v>
      </c>
      <c r="E208" s="53" t="s">
        <v>46</v>
      </c>
      <c r="F208" s="5" t="s">
        <v>45</v>
      </c>
      <c r="G208" s="54" t="s">
        <v>44</v>
      </c>
      <c r="H208" s="63">
        <v>283930</v>
      </c>
      <c r="I208" s="64">
        <f t="shared" si="11"/>
        <v>283930</v>
      </c>
      <c r="J208" s="64">
        <v>478118</v>
      </c>
      <c r="K208" s="64">
        <f t="shared" si="12"/>
        <v>478118</v>
      </c>
      <c r="L208" s="65">
        <v>0.24324324324324323</v>
      </c>
      <c r="M208" s="64">
        <v>1982195</v>
      </c>
      <c r="N208" s="89">
        <f t="shared" si="13"/>
        <v>0.14324019584349673</v>
      </c>
      <c r="O208" s="89">
        <f t="shared" si="14"/>
        <v>0.14324019584349673</v>
      </c>
      <c r="P208" s="89">
        <f t="shared" si="15"/>
        <v>0.24120633943683645</v>
      </c>
      <c r="Q208" s="89">
        <f t="shared" si="16"/>
        <v>0.24120633943683645</v>
      </c>
      <c r="R208" s="109">
        <v>1</v>
      </c>
      <c r="S208" s="109"/>
      <c r="T208" s="170"/>
      <c r="U208" s="170"/>
      <c r="V208" s="170"/>
    </row>
    <row r="209" spans="2:22" x14ac:dyDescent="0.25">
      <c r="B209" s="52" t="s">
        <v>43</v>
      </c>
      <c r="C209" s="7" t="s">
        <v>224</v>
      </c>
      <c r="D209" s="5" t="s">
        <v>38</v>
      </c>
      <c r="E209" s="53" t="s">
        <v>42</v>
      </c>
      <c r="F209" s="5" t="s">
        <v>41</v>
      </c>
      <c r="G209" s="54" t="s">
        <v>40</v>
      </c>
      <c r="H209" s="63">
        <v>177229</v>
      </c>
      <c r="I209" s="64">
        <f t="shared" si="11"/>
        <v>177229</v>
      </c>
      <c r="J209" s="64">
        <v>221536.25</v>
      </c>
      <c r="K209" s="64">
        <f t="shared" si="12"/>
        <v>221536.25</v>
      </c>
      <c r="L209" s="65">
        <v>0.43034153552748139</v>
      </c>
      <c r="M209" s="64">
        <v>1013386</v>
      </c>
      <c r="N209" s="89">
        <f t="shared" si="13"/>
        <v>0.17488794990260376</v>
      </c>
      <c r="O209" s="89">
        <f t="shared" si="14"/>
        <v>0.17488794990260376</v>
      </c>
      <c r="P209" s="89">
        <f t="shared" si="15"/>
        <v>0.21860993737825468</v>
      </c>
      <c r="Q209" s="89">
        <f t="shared" si="16"/>
        <v>0.21860993737825468</v>
      </c>
      <c r="R209" s="109">
        <v>1</v>
      </c>
      <c r="S209" s="109"/>
      <c r="T209" s="170"/>
      <c r="U209" s="170"/>
      <c r="V209" s="170"/>
    </row>
    <row r="210" spans="2:22" x14ac:dyDescent="0.25">
      <c r="B210" s="66" t="s">
        <v>39</v>
      </c>
      <c r="C210" s="10" t="s">
        <v>224</v>
      </c>
      <c r="D210" s="8" t="s">
        <v>38</v>
      </c>
      <c r="E210" s="67" t="s">
        <v>37</v>
      </c>
      <c r="F210" s="8" t="s">
        <v>36</v>
      </c>
      <c r="G210" s="68" t="s">
        <v>35</v>
      </c>
      <c r="H210" s="80">
        <v>81744</v>
      </c>
      <c r="I210" s="9">
        <f t="shared" si="11"/>
        <v>81744</v>
      </c>
      <c r="J210" s="9">
        <v>81744</v>
      </c>
      <c r="K210" s="9">
        <f t="shared" si="12"/>
        <v>81744</v>
      </c>
      <c r="L210" s="81">
        <v>0.35112057154041887</v>
      </c>
      <c r="M210" s="70">
        <v>545908</v>
      </c>
      <c r="N210" s="91">
        <f t="shared" si="13"/>
        <v>0.14973951654857595</v>
      </c>
      <c r="O210" s="91">
        <f t="shared" si="14"/>
        <v>0.14973951654857595</v>
      </c>
      <c r="P210" s="91">
        <f t="shared" si="15"/>
        <v>0.14973951654857595</v>
      </c>
      <c r="Q210" s="91">
        <f t="shared" si="16"/>
        <v>0.14973951654857595</v>
      </c>
      <c r="R210" s="111">
        <v>1</v>
      </c>
      <c r="S210" s="111"/>
      <c r="T210" s="172"/>
      <c r="U210" s="172"/>
      <c r="V210" s="172"/>
    </row>
    <row r="211" spans="2:22" x14ac:dyDescent="0.25">
      <c r="B211" s="52" t="s">
        <v>34</v>
      </c>
      <c r="C211" s="7" t="s">
        <v>123</v>
      </c>
      <c r="D211" s="5" t="s">
        <v>3</v>
      </c>
      <c r="E211" s="53" t="s">
        <v>33</v>
      </c>
      <c r="F211" s="5" t="s">
        <v>32</v>
      </c>
      <c r="G211" s="54" t="s">
        <v>31</v>
      </c>
      <c r="H211" s="63">
        <v>90659</v>
      </c>
      <c r="I211" s="64">
        <f t="shared" si="11"/>
        <v>90659</v>
      </c>
      <c r="J211" s="64">
        <v>114537</v>
      </c>
      <c r="K211" s="64">
        <f t="shared" si="12"/>
        <v>114537</v>
      </c>
      <c r="L211" s="65">
        <v>0.48307692307692307</v>
      </c>
      <c r="M211" s="64">
        <v>608044</v>
      </c>
      <c r="N211" s="89">
        <f t="shared" si="13"/>
        <v>0.14909940727973633</v>
      </c>
      <c r="O211" s="89">
        <f t="shared" si="14"/>
        <v>0.14909940727973633</v>
      </c>
      <c r="P211" s="89">
        <f t="shared" si="15"/>
        <v>0.18836959167428674</v>
      </c>
      <c r="Q211" s="89">
        <f t="shared" si="16"/>
        <v>0.18836959167428674</v>
      </c>
      <c r="R211" s="109">
        <v>1</v>
      </c>
      <c r="S211" s="109"/>
      <c r="T211" s="170"/>
      <c r="U211" s="170"/>
      <c r="V211" s="170"/>
    </row>
    <row r="212" spans="2:22" x14ac:dyDescent="0.25">
      <c r="B212" s="52" t="s">
        <v>30</v>
      </c>
      <c r="C212" s="7" t="s">
        <v>123</v>
      </c>
      <c r="D212" s="5" t="s">
        <v>3</v>
      </c>
      <c r="E212" s="53" t="s">
        <v>29</v>
      </c>
      <c r="F212" s="5" t="s">
        <v>28</v>
      </c>
      <c r="G212" s="54" t="s">
        <v>27</v>
      </c>
      <c r="H212" s="63">
        <v>81689</v>
      </c>
      <c r="I212" s="64">
        <f t="shared" si="11"/>
        <v>68007.021008821146</v>
      </c>
      <c r="J212" s="64">
        <v>83933</v>
      </c>
      <c r="K212" s="64">
        <f t="shared" si="12"/>
        <v>83933</v>
      </c>
      <c r="L212" s="65">
        <v>0.32000636560614037</v>
      </c>
      <c r="M212" s="64">
        <v>320736</v>
      </c>
      <c r="N212" s="89">
        <f t="shared" si="13"/>
        <v>0.25469233263493962</v>
      </c>
      <c r="O212" s="89">
        <f t="shared" si="14"/>
        <v>0.21203426185031038</v>
      </c>
      <c r="P212" s="89">
        <f t="shared" si="15"/>
        <v>0.26168874089593935</v>
      </c>
      <c r="Q212" s="89">
        <f t="shared" si="16"/>
        <v>0.26168874089593935</v>
      </c>
      <c r="R212" s="109">
        <v>1</v>
      </c>
      <c r="S212" s="109"/>
      <c r="T212" s="170"/>
      <c r="U212" s="170"/>
      <c r="V212" s="170"/>
    </row>
    <row r="213" spans="2:22" x14ac:dyDescent="0.25">
      <c r="B213" s="52" t="s">
        <v>26</v>
      </c>
      <c r="C213" s="7" t="s">
        <v>123</v>
      </c>
      <c r="D213" s="5" t="s">
        <v>3</v>
      </c>
      <c r="E213" s="53" t="s">
        <v>25</v>
      </c>
      <c r="F213" s="5" t="s">
        <v>24</v>
      </c>
      <c r="G213" s="54" t="s">
        <v>23</v>
      </c>
      <c r="H213" s="63">
        <v>91262</v>
      </c>
      <c r="I213" s="64">
        <f t="shared" si="11"/>
        <v>91262</v>
      </c>
      <c r="J213" s="64">
        <v>91262</v>
      </c>
      <c r="K213" s="64">
        <f t="shared" si="12"/>
        <v>91262</v>
      </c>
      <c r="L213" s="65">
        <v>0.21495327102803738</v>
      </c>
      <c r="M213" s="64">
        <v>493400</v>
      </c>
      <c r="N213" s="89">
        <f t="shared" si="13"/>
        <v>0.18496554519659505</v>
      </c>
      <c r="O213" s="89">
        <f t="shared" si="14"/>
        <v>0.18496554519659505</v>
      </c>
      <c r="P213" s="89">
        <f t="shared" si="15"/>
        <v>0.18496554519659505</v>
      </c>
      <c r="Q213" s="89">
        <f t="shared" si="16"/>
        <v>0.18496554519659505</v>
      </c>
      <c r="R213" s="109">
        <v>1</v>
      </c>
      <c r="S213" s="109"/>
      <c r="T213" s="170"/>
      <c r="U213" s="170"/>
      <c r="V213" s="170"/>
    </row>
    <row r="214" spans="2:22" x14ac:dyDescent="0.25">
      <c r="B214" s="52" t="s">
        <v>22</v>
      </c>
      <c r="C214" s="7" t="s">
        <v>123</v>
      </c>
      <c r="D214" s="5" t="s">
        <v>3</v>
      </c>
      <c r="E214" s="53" t="s">
        <v>21</v>
      </c>
      <c r="F214" s="5" t="s">
        <v>20</v>
      </c>
      <c r="G214" s="54" t="s">
        <v>19</v>
      </c>
      <c r="H214" s="63">
        <v>135957</v>
      </c>
      <c r="I214" s="64">
        <f t="shared" si="11"/>
        <v>138052.15264414382</v>
      </c>
      <c r="J214" s="64">
        <v>219286</v>
      </c>
      <c r="K214" s="64">
        <f t="shared" si="12"/>
        <v>219286</v>
      </c>
      <c r="L214" s="65">
        <v>0.50999948513132831</v>
      </c>
      <c r="M214" s="64">
        <v>1227989</v>
      </c>
      <c r="N214" s="89">
        <f t="shared" si="13"/>
        <v>0.1107151611292935</v>
      </c>
      <c r="O214" s="89">
        <f t="shared" si="14"/>
        <v>0.11242132677421689</v>
      </c>
      <c r="P214" s="89">
        <f t="shared" si="15"/>
        <v>0.17857326083539837</v>
      </c>
      <c r="Q214" s="89">
        <f t="shared" si="16"/>
        <v>0.17857326083539837</v>
      </c>
      <c r="R214" s="109">
        <v>1</v>
      </c>
      <c r="S214" s="109"/>
      <c r="T214" s="170"/>
      <c r="U214" s="170"/>
      <c r="V214" s="170"/>
    </row>
    <row r="215" spans="2:22" x14ac:dyDescent="0.25">
      <c r="B215" s="52" t="s">
        <v>18</v>
      </c>
      <c r="C215" s="7" t="s">
        <v>123</v>
      </c>
      <c r="D215" s="5" t="s">
        <v>3</v>
      </c>
      <c r="E215" s="53" t="s">
        <v>15</v>
      </c>
      <c r="F215" s="5" t="s">
        <v>14</v>
      </c>
      <c r="G215" s="54" t="s">
        <v>17</v>
      </c>
      <c r="H215" s="63">
        <v>75140</v>
      </c>
      <c r="I215" s="64">
        <f t="shared" ref="I215:I219" si="17">IF(N215&gt;$O$114,IF(N215&gt;$O$113,$O$113*M215,H215),$O$114*M215)</f>
        <v>75140</v>
      </c>
      <c r="J215" s="64">
        <v>106929</v>
      </c>
      <c r="K215" s="64">
        <f t="shared" ref="K215:K219" si="18">IF(P215&gt;$P$114,IF(P215&gt;$P$113,$P$113*M215,J215),$P$114*M215)</f>
        <v>106929</v>
      </c>
      <c r="L215" s="65">
        <v>0.44</v>
      </c>
      <c r="M215" s="64">
        <v>471863.10741350905</v>
      </c>
      <c r="N215" s="89">
        <f t="shared" ref="N215:N219" si="19">H215/M215</f>
        <v>0.15924109941943895</v>
      </c>
      <c r="O215" s="89">
        <f t="shared" si="14"/>
        <v>0.15924109941943895</v>
      </c>
      <c r="P215" s="89">
        <f t="shared" si="15"/>
        <v>0.22661021453049227</v>
      </c>
      <c r="Q215" s="89">
        <f t="shared" si="16"/>
        <v>0.22661021453049227</v>
      </c>
      <c r="R215" s="109">
        <v>0.5</v>
      </c>
      <c r="S215" s="109" t="s">
        <v>562</v>
      </c>
      <c r="T215" s="170"/>
      <c r="U215" s="170"/>
      <c r="V215" s="170"/>
    </row>
    <row r="216" spans="2:22" x14ac:dyDescent="0.25">
      <c r="B216" s="52" t="s">
        <v>16</v>
      </c>
      <c r="C216" s="7" t="s">
        <v>123</v>
      </c>
      <c r="D216" s="5" t="s">
        <v>3</v>
      </c>
      <c r="E216" s="53" t="s">
        <v>15</v>
      </c>
      <c r="F216" s="5" t="s">
        <v>14</v>
      </c>
      <c r="G216" s="54" t="s">
        <v>13</v>
      </c>
      <c r="H216" s="63">
        <v>46260</v>
      </c>
      <c r="I216" s="64">
        <f t="shared" si="17"/>
        <v>46260</v>
      </c>
      <c r="J216" s="64">
        <v>46260</v>
      </c>
      <c r="K216" s="64">
        <f t="shared" si="18"/>
        <v>46260</v>
      </c>
      <c r="L216" s="65">
        <v>0.23249027237354086</v>
      </c>
      <c r="M216" s="64">
        <v>290502.89258649095</v>
      </c>
      <c r="N216" s="89">
        <f t="shared" si="19"/>
        <v>0.15924109941943895</v>
      </c>
      <c r="O216" s="89">
        <f t="shared" si="14"/>
        <v>0.15924109941943895</v>
      </c>
      <c r="P216" s="89">
        <f t="shared" si="15"/>
        <v>0.15924109941943895</v>
      </c>
      <c r="Q216" s="89">
        <f t="shared" si="16"/>
        <v>0.15924109941943895</v>
      </c>
      <c r="R216" s="109">
        <v>0.5</v>
      </c>
      <c r="S216" s="109" t="s">
        <v>562</v>
      </c>
      <c r="T216" s="170"/>
      <c r="U216" s="170"/>
      <c r="V216" s="170"/>
    </row>
    <row r="217" spans="2:22" x14ac:dyDescent="0.25">
      <c r="B217" s="52" t="s">
        <v>12</v>
      </c>
      <c r="C217" s="7" t="s">
        <v>123</v>
      </c>
      <c r="D217" s="5" t="s">
        <v>3</v>
      </c>
      <c r="E217" s="53" t="s">
        <v>11</v>
      </c>
      <c r="F217" s="5" t="s">
        <v>10</v>
      </c>
      <c r="G217" s="54" t="s">
        <v>9</v>
      </c>
      <c r="H217" s="63">
        <v>245913</v>
      </c>
      <c r="I217" s="64">
        <f t="shared" si="17"/>
        <v>245913</v>
      </c>
      <c r="J217" s="64">
        <v>374143</v>
      </c>
      <c r="K217" s="64">
        <f t="shared" si="18"/>
        <v>374143</v>
      </c>
      <c r="L217" s="65">
        <v>0.48780487804878048</v>
      </c>
      <c r="M217" s="64">
        <v>1756088</v>
      </c>
      <c r="N217" s="89">
        <f t="shared" si="19"/>
        <v>0.14003455407701665</v>
      </c>
      <c r="O217" s="89">
        <f t="shared" si="14"/>
        <v>0.14003455407701665</v>
      </c>
      <c r="P217" s="89">
        <f t="shared" si="15"/>
        <v>0.21305481274286939</v>
      </c>
      <c r="Q217" s="89">
        <f t="shared" si="16"/>
        <v>0.21305481274286939</v>
      </c>
      <c r="R217" s="109">
        <v>1</v>
      </c>
      <c r="S217" s="109"/>
      <c r="T217" s="170"/>
      <c r="U217" s="170"/>
      <c r="V217" s="170"/>
    </row>
    <row r="218" spans="2:22" x14ac:dyDescent="0.25">
      <c r="B218" s="52" t="s">
        <v>8</v>
      </c>
      <c r="C218" s="7" t="s">
        <v>123</v>
      </c>
      <c r="D218" s="5" t="s">
        <v>3</v>
      </c>
      <c r="E218" s="53" t="s">
        <v>7</v>
      </c>
      <c r="F218" s="5" t="s">
        <v>6</v>
      </c>
      <c r="G218" s="54" t="s">
        <v>5</v>
      </c>
      <c r="H218" s="63">
        <v>89562</v>
      </c>
      <c r="I218" s="64">
        <f t="shared" si="17"/>
        <v>89562</v>
      </c>
      <c r="J218" s="64">
        <v>103022</v>
      </c>
      <c r="K218" s="64">
        <f t="shared" si="18"/>
        <v>103022</v>
      </c>
      <c r="L218" s="65">
        <v>0.29249011857707508</v>
      </c>
      <c r="M218" s="64">
        <v>422394</v>
      </c>
      <c r="N218" s="89">
        <f t="shared" si="19"/>
        <v>0.21203426185031038</v>
      </c>
      <c r="O218" s="89">
        <f t="shared" si="14"/>
        <v>0.21203426185031038</v>
      </c>
      <c r="P218" s="89">
        <f t="shared" si="15"/>
        <v>0.24390024479514388</v>
      </c>
      <c r="Q218" s="89">
        <f t="shared" si="16"/>
        <v>0.24390024479514388</v>
      </c>
      <c r="R218" s="109">
        <v>1</v>
      </c>
      <c r="S218" s="109"/>
      <c r="T218" s="170"/>
      <c r="U218" s="170"/>
      <c r="V218" s="170"/>
    </row>
    <row r="219" spans="2:22" ht="15.75" thickBot="1" x14ac:dyDescent="0.3">
      <c r="B219" s="82" t="s">
        <v>4</v>
      </c>
      <c r="C219" s="4" t="s">
        <v>123</v>
      </c>
      <c r="D219" s="3" t="s">
        <v>3</v>
      </c>
      <c r="E219" s="83" t="s">
        <v>2</v>
      </c>
      <c r="F219" s="3" t="s">
        <v>1</v>
      </c>
      <c r="G219" s="84" t="s">
        <v>0</v>
      </c>
      <c r="H219" s="85">
        <v>156033</v>
      </c>
      <c r="I219" s="86">
        <f t="shared" si="17"/>
        <v>156033</v>
      </c>
      <c r="J219" s="86">
        <v>156033</v>
      </c>
      <c r="K219" s="86">
        <f t="shared" si="18"/>
        <v>156033</v>
      </c>
      <c r="L219" s="87">
        <v>0.27894736842105261</v>
      </c>
      <c r="M219" s="86">
        <v>751313</v>
      </c>
      <c r="N219" s="93">
        <f t="shared" si="19"/>
        <v>0.20768042080996868</v>
      </c>
      <c r="O219" s="93">
        <f t="shared" si="14"/>
        <v>0.20768042080996868</v>
      </c>
      <c r="P219" s="93">
        <f t="shared" si="15"/>
        <v>0.20768042080996868</v>
      </c>
      <c r="Q219" s="93">
        <f t="shared" si="16"/>
        <v>0.20768042080996868</v>
      </c>
      <c r="R219" s="113">
        <v>1</v>
      </c>
      <c r="S219" s="113"/>
      <c r="T219" s="174"/>
      <c r="U219" s="174"/>
      <c r="V219" s="174"/>
    </row>
  </sheetData>
  <sheetProtection sheet="1" objects="1" scenarios="1"/>
  <autoFilter ref="B117:V219"/>
  <dataValidations count="1">
    <dataValidation showInputMessage="1" showErrorMessage="1" sqref="G20:G26 S20:S26"/>
  </dataValidations>
  <pageMargins left="0.70866141732283472" right="0.70866141732283472" top="0.74803149606299213" bottom="0.74803149606299213" header="0.31496062992125984" footer="0.31496062992125984"/>
  <pageSetup paperSize="9" scale="1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26</vt:i4>
      </vt:variant>
    </vt:vector>
  </HeadingPairs>
  <TitlesOfParts>
    <vt:vector size="31" baseType="lpstr">
      <vt:lpstr>A. Introduction</vt:lpstr>
      <vt:lpstr>JPE 2017 par ARS</vt:lpstr>
      <vt:lpstr>B. Mode d'emploi et Paramètres</vt:lpstr>
      <vt:lpstr>C. Résultats par réghion 2017 </vt:lpstr>
      <vt:lpstr>Onglet technique</vt:lpstr>
      <vt:lpstr>AMELIORATION_OT</vt:lpstr>
      <vt:lpstr>AVEC</vt:lpstr>
      <vt:lpstr>AVEC_SANS</vt:lpstr>
      <vt:lpstr>'A. Introduction'!COEFF_GEO</vt:lpstr>
      <vt:lpstr>'C. Résultats par réghion 2017 '!COEFF_GEO</vt:lpstr>
      <vt:lpstr>Complète</vt:lpstr>
      <vt:lpstr>DEP</vt:lpstr>
      <vt:lpstr>DEP_NOM</vt:lpstr>
      <vt:lpstr>DONNEES_UTILISEES</vt:lpstr>
      <vt:lpstr>Nocturne</vt:lpstr>
      <vt:lpstr>NOCTURNE_COMPLETE</vt:lpstr>
      <vt:lpstr>NON</vt:lpstr>
      <vt:lpstr>OUI</vt:lpstr>
      <vt:lpstr>OUI_NON</vt:lpstr>
      <vt:lpstr>POP_DEP_COEF</vt:lpstr>
      <vt:lpstr>REG</vt:lpstr>
      <vt:lpstr>REGIONS</vt:lpstr>
      <vt:lpstr>SAMU</vt:lpstr>
      <vt:lpstr>SAMU_2</vt:lpstr>
      <vt:lpstr>SAMU_DEP</vt:lpstr>
      <vt:lpstr>'A. Introduction'!SAMU_MODELISES</vt:lpstr>
      <vt:lpstr>'C. Résultats par réghion 2017 '!SAMU_MODELISES</vt:lpstr>
      <vt:lpstr>Sans</vt:lpstr>
      <vt:lpstr>TABLE_SAMU</vt:lpstr>
      <vt:lpstr>'A. Introduction'!Zone_d_impression</vt:lpstr>
      <vt:lpstr>'B. Mode d''emploi et Paramètres'!Zone_d_impression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2017-04-28T16:17:52Z</dcterms:modified>
</cp:coreProperties>
</file>